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kagit\dept\PW\shared\Ferry\"/>
    </mc:Choice>
  </mc:AlternateContent>
  <xr:revisionPtr revIDLastSave="0" documentId="13_ncr:1_{E046DED0-2EEF-429B-A129-5593C93E2B83}" xr6:coauthVersionLast="47" xr6:coauthVersionMax="47" xr10:uidLastSave="{00000000-0000-0000-0000-000000000000}"/>
  <bookViews>
    <workbookView xWindow="-108" yWindow="-108" windowWidth="23256" windowHeight="12576" tabRatio="949" xr2:uid="{00000000-000D-0000-FFFF-FFFF00000000}"/>
  </bookViews>
  <sheets>
    <sheet name="2023" sheetId="38" r:id="rId1"/>
    <sheet name="2022" sheetId="37" r:id="rId2"/>
    <sheet name="2021" sheetId="36" r:id="rId3"/>
    <sheet name="2020" sheetId="35" r:id="rId4"/>
    <sheet name="2019" sheetId="34" r:id="rId5"/>
    <sheet name="2018" sheetId="33" r:id="rId6"/>
    <sheet name="2017" sheetId="32" r:id="rId7"/>
    <sheet name="2016" sheetId="31" r:id="rId8"/>
    <sheet name="2015" sheetId="30" r:id="rId9"/>
    <sheet name="2014" sheetId="29" r:id="rId10"/>
    <sheet name="2013" sheetId="28" r:id="rId11"/>
    <sheet name="2012" sheetId="27" r:id="rId12"/>
    <sheet name="2011" sheetId="26" r:id="rId13"/>
    <sheet name="Chart1997-2010" sheetId="18" r:id="rId14"/>
    <sheet name="Ridership vs Ticket Sales 2010" sheetId="25" r:id="rId15"/>
    <sheet name="2010" sheetId="22" r:id="rId16"/>
    <sheet name="Ridership vs Ticket Sales 2009" sheetId="23" r:id="rId17"/>
    <sheet name="2009" sheetId="21" r:id="rId18"/>
    <sheet name="Ridership vs Ticket Sales 2008" sheetId="24" r:id="rId19"/>
    <sheet name="2008" sheetId="20" r:id="rId20"/>
    <sheet name="2007" sheetId="19" r:id="rId21"/>
    <sheet name="2006" sheetId="17" r:id="rId22"/>
    <sheet name="2005" sheetId="15" r:id="rId23"/>
    <sheet name="2004 New" sheetId="14" r:id="rId24"/>
    <sheet name="2004" sheetId="13" r:id="rId25"/>
    <sheet name="2003" sheetId="12" r:id="rId26"/>
    <sheet name="2002" sheetId="11" r:id="rId27"/>
    <sheet name="2001" sheetId="7" r:id="rId28"/>
    <sheet name="2000" sheetId="4" r:id="rId29"/>
    <sheet name="1999" sheetId="3" r:id="rId30"/>
    <sheet name="1998" sheetId="2" r:id="rId31"/>
    <sheet name="1997" sheetId="1" r:id="rId32"/>
    <sheet name="1996" sheetId="5" r:id="rId33"/>
  </sheets>
  <definedNames>
    <definedName name="_Regression_Int" localSheetId="31" hidden="1">1</definedName>
    <definedName name="_xlnm.Print_Area" localSheetId="32">'1996'!$A$1:$N$42</definedName>
    <definedName name="_xlnm.Print_Area" localSheetId="31">'1997'!$A$1:$N$34</definedName>
    <definedName name="_xlnm.Print_Area" localSheetId="27">'2001'!$A$1:$N$29</definedName>
    <definedName name="_xlnm.Print_Area" localSheetId="26">'2002'!$A$1:$N$29</definedName>
    <definedName name="_xlnm.Print_Area" localSheetId="25">'2003'!$A$1:$N$29</definedName>
    <definedName name="_xlnm.Print_Area" localSheetId="24">'2004'!$A$1:$N$29</definedName>
    <definedName name="_xlnm.Print_Area" localSheetId="23">'2004 New'!$A$1:$N$31</definedName>
    <definedName name="_xlnm.Print_Area" localSheetId="22">'2005'!$A$1:$N$38</definedName>
    <definedName name="_xlnm.Print_Area" localSheetId="21">'2006'!$A$1:$N$43</definedName>
    <definedName name="_xlnm.Print_Area" localSheetId="20">'2007'!$A$1:$N$52</definedName>
    <definedName name="_xlnm.Print_Area" localSheetId="19">'2008'!$A$1:$N$67</definedName>
    <definedName name="_xlnm.Print_Area" localSheetId="3">'2020'!$A$1:$N$71</definedName>
    <definedName name="_xlnm.Print_Area" localSheetId="2">'2021'!$A$1:$N$71</definedName>
    <definedName name="_xlnm.Print_Area" localSheetId="1">'2022'!$A$1:$N$72</definedName>
    <definedName name="_xlnm.Print_Area" localSheetId="0">'2023'!$A$1:$N$82</definedName>
    <definedName name="Print_Area_MI" localSheetId="31">'1997'!$A$1:$N$34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4" i="38" l="1"/>
  <c r="L64" i="38"/>
  <c r="K64" i="38"/>
  <c r="J64" i="38"/>
  <c r="M69" i="38"/>
  <c r="L69" i="38"/>
  <c r="K69" i="38"/>
  <c r="J69" i="38"/>
  <c r="I69" i="38"/>
  <c r="M70" i="38"/>
  <c r="L70" i="38"/>
  <c r="K70" i="38"/>
  <c r="J70" i="38"/>
  <c r="I70" i="38"/>
  <c r="H70" i="38"/>
  <c r="G70" i="38"/>
  <c r="F70" i="38"/>
  <c r="E70" i="38"/>
  <c r="D70" i="38"/>
  <c r="C70" i="38"/>
  <c r="B70" i="38"/>
  <c r="B60" i="37"/>
  <c r="B59" i="37"/>
  <c r="I66" i="38"/>
  <c r="B81" i="38"/>
  <c r="B80" i="38"/>
  <c r="B79" i="38"/>
  <c r="B78" i="38"/>
  <c r="B77" i="38"/>
  <c r="B76" i="38"/>
  <c r="M82" i="38"/>
  <c r="L82" i="38"/>
  <c r="K82" i="38"/>
  <c r="J82" i="38"/>
  <c r="M81" i="38"/>
  <c r="L81" i="38"/>
  <c r="K81" i="38"/>
  <c r="J81" i="38"/>
  <c r="M80" i="38"/>
  <c r="L80" i="38"/>
  <c r="K80" i="38"/>
  <c r="J80" i="38"/>
  <c r="M79" i="38"/>
  <c r="L79" i="38"/>
  <c r="K79" i="38"/>
  <c r="J79" i="38"/>
  <c r="M78" i="38"/>
  <c r="L78" i="38"/>
  <c r="K78" i="38"/>
  <c r="J78" i="38"/>
  <c r="M77" i="38"/>
  <c r="L77" i="38"/>
  <c r="K77" i="38"/>
  <c r="J77" i="38"/>
  <c r="M76" i="38"/>
  <c r="L76" i="38"/>
  <c r="K76" i="38"/>
  <c r="J76" i="38"/>
  <c r="I82" i="38" l="1"/>
  <c r="I80" i="38"/>
  <c r="I81" i="38"/>
  <c r="I79" i="38"/>
  <c r="I78" i="38"/>
  <c r="I77" i="38"/>
  <c r="I76" i="38"/>
  <c r="M71" i="38"/>
  <c r="L71" i="38"/>
  <c r="K71" i="38"/>
  <c r="J71" i="38"/>
  <c r="M68" i="38"/>
  <c r="L68" i="38"/>
  <c r="K68" i="38"/>
  <c r="J68" i="38"/>
  <c r="M67" i="38"/>
  <c r="L67" i="38"/>
  <c r="K67" i="38"/>
  <c r="J67" i="38"/>
  <c r="M66" i="38"/>
  <c r="L66" i="38"/>
  <c r="K66" i="38"/>
  <c r="J66" i="38"/>
  <c r="B71" i="38"/>
  <c r="B69" i="38"/>
  <c r="G68" i="38"/>
  <c r="F68" i="38"/>
  <c r="E68" i="38"/>
  <c r="D68" i="38"/>
  <c r="C68" i="38"/>
  <c r="B68" i="38"/>
  <c r="I68" i="38"/>
  <c r="I67" i="38"/>
  <c r="I64" i="38"/>
  <c r="I62" i="38"/>
  <c r="N62" i="38" s="1"/>
  <c r="I53" i="38"/>
  <c r="I49" i="38"/>
  <c r="N49" i="38" s="1"/>
  <c r="I45" i="38"/>
  <c r="N45" i="38" s="1"/>
  <c r="I39" i="38"/>
  <c r="I35" i="38"/>
  <c r="N35" i="38" s="1"/>
  <c r="I33" i="38"/>
  <c r="I29" i="38"/>
  <c r="I24" i="38"/>
  <c r="N24" i="38" s="1"/>
  <c r="I22" i="38"/>
  <c r="N22" i="38" s="1"/>
  <c r="I21" i="38"/>
  <c r="I17" i="38"/>
  <c r="I15" i="38"/>
  <c r="B67" i="38"/>
  <c r="H82" i="38"/>
  <c r="G82" i="38"/>
  <c r="F82" i="38"/>
  <c r="E82" i="38"/>
  <c r="D82" i="38"/>
  <c r="C82" i="38"/>
  <c r="B82" i="38"/>
  <c r="H81" i="38"/>
  <c r="G81" i="38"/>
  <c r="F81" i="38"/>
  <c r="E81" i="38"/>
  <c r="D81" i="38"/>
  <c r="C81" i="38"/>
  <c r="H80" i="38"/>
  <c r="G80" i="38"/>
  <c r="F80" i="38"/>
  <c r="E80" i="38"/>
  <c r="D80" i="38"/>
  <c r="C80" i="38"/>
  <c r="H79" i="38"/>
  <c r="G79" i="38"/>
  <c r="F79" i="38"/>
  <c r="E79" i="38"/>
  <c r="D79" i="38"/>
  <c r="C79" i="38"/>
  <c r="H78" i="38"/>
  <c r="G78" i="38"/>
  <c r="F78" i="38"/>
  <c r="E78" i="38"/>
  <c r="D78" i="38"/>
  <c r="C78" i="38"/>
  <c r="H77" i="38"/>
  <c r="G77" i="38"/>
  <c r="F77" i="38"/>
  <c r="E77" i="38"/>
  <c r="D77" i="38"/>
  <c r="C77" i="38"/>
  <c r="H76" i="38"/>
  <c r="G76" i="38"/>
  <c r="F76" i="38"/>
  <c r="E76" i="38"/>
  <c r="D76" i="38"/>
  <c r="C76" i="38"/>
  <c r="H71" i="38"/>
  <c r="G71" i="38"/>
  <c r="F71" i="38"/>
  <c r="E71" i="38"/>
  <c r="D71" i="38"/>
  <c r="C71" i="38"/>
  <c r="H69" i="38"/>
  <c r="G69" i="38"/>
  <c r="F69" i="38"/>
  <c r="E69" i="38"/>
  <c r="D69" i="38"/>
  <c r="C69" i="38"/>
  <c r="H68" i="38"/>
  <c r="H67" i="38"/>
  <c r="G67" i="38"/>
  <c r="F67" i="38"/>
  <c r="E67" i="38"/>
  <c r="D67" i="38"/>
  <c r="C67" i="38"/>
  <c r="H66" i="38"/>
  <c r="G66" i="38"/>
  <c r="F66" i="38"/>
  <c r="E66" i="38"/>
  <c r="D66" i="38"/>
  <c r="C66" i="38"/>
  <c r="B66" i="38"/>
  <c r="H64" i="38"/>
  <c r="G64" i="38"/>
  <c r="F64" i="38"/>
  <c r="E64" i="38"/>
  <c r="D64" i="38"/>
  <c r="C64" i="38"/>
  <c r="N61" i="38"/>
  <c r="N60" i="38"/>
  <c r="N59" i="38"/>
  <c r="N58" i="38"/>
  <c r="N57" i="38"/>
  <c r="N56" i="38"/>
  <c r="N55" i="38"/>
  <c r="N54" i="38"/>
  <c r="N53" i="38"/>
  <c r="N52" i="38"/>
  <c r="N51" i="38"/>
  <c r="N50" i="38"/>
  <c r="N48" i="38"/>
  <c r="N47" i="38"/>
  <c r="N46" i="38"/>
  <c r="N44" i="38"/>
  <c r="N43" i="38"/>
  <c r="N41" i="38"/>
  <c r="N40" i="38"/>
  <c r="N42" i="38"/>
  <c r="N38" i="38"/>
  <c r="N37" i="38"/>
  <c r="N36" i="38"/>
  <c r="N34" i="38"/>
  <c r="N33" i="38"/>
  <c r="N32" i="38"/>
  <c r="N31" i="38"/>
  <c r="N30" i="38"/>
  <c r="N27" i="38"/>
  <c r="N26" i="38"/>
  <c r="N28" i="38"/>
  <c r="N25" i="38"/>
  <c r="N23" i="38"/>
  <c r="N21" i="38"/>
  <c r="N20" i="38"/>
  <c r="N19" i="38"/>
  <c r="N18" i="38"/>
  <c r="N17" i="38"/>
  <c r="N15" i="38"/>
  <c r="N14" i="38"/>
  <c r="N13" i="38"/>
  <c r="N18" i="37"/>
  <c r="M72" i="37"/>
  <c r="L72" i="37"/>
  <c r="K72" i="37"/>
  <c r="J72" i="37"/>
  <c r="I72" i="37"/>
  <c r="H72" i="37"/>
  <c r="G72" i="37"/>
  <c r="F72" i="37"/>
  <c r="E72" i="37"/>
  <c r="D72" i="37"/>
  <c r="C72" i="37"/>
  <c r="B72" i="37"/>
  <c r="M71" i="37"/>
  <c r="L71" i="37"/>
  <c r="K71" i="37"/>
  <c r="J71" i="37"/>
  <c r="I71" i="37"/>
  <c r="H71" i="37"/>
  <c r="G71" i="37"/>
  <c r="F71" i="37"/>
  <c r="E71" i="37"/>
  <c r="D71" i="37"/>
  <c r="C71" i="37"/>
  <c r="B71" i="37"/>
  <c r="M70" i="37"/>
  <c r="L70" i="37"/>
  <c r="K70" i="37"/>
  <c r="J70" i="37"/>
  <c r="I70" i="37"/>
  <c r="H70" i="37"/>
  <c r="G70" i="37"/>
  <c r="F70" i="37"/>
  <c r="E70" i="37"/>
  <c r="D70" i="37"/>
  <c r="C70" i="37"/>
  <c r="B70" i="37"/>
  <c r="M69" i="37"/>
  <c r="L69" i="37"/>
  <c r="K69" i="37"/>
  <c r="J69" i="37"/>
  <c r="I69" i="37"/>
  <c r="H69" i="37"/>
  <c r="G69" i="37"/>
  <c r="F69" i="37"/>
  <c r="E69" i="37"/>
  <c r="D69" i="37"/>
  <c r="C69" i="37"/>
  <c r="B69" i="37"/>
  <c r="M68" i="37"/>
  <c r="L68" i="37"/>
  <c r="K68" i="37"/>
  <c r="J68" i="37"/>
  <c r="I68" i="37"/>
  <c r="H68" i="37"/>
  <c r="G68" i="37"/>
  <c r="F68" i="37"/>
  <c r="E68" i="37"/>
  <c r="D68" i="37"/>
  <c r="C68" i="37"/>
  <c r="B68" i="37"/>
  <c r="M67" i="37"/>
  <c r="L67" i="37"/>
  <c r="K67" i="37"/>
  <c r="J67" i="37"/>
  <c r="I67" i="37"/>
  <c r="H67" i="37"/>
  <c r="G67" i="37"/>
  <c r="F67" i="37"/>
  <c r="E67" i="37"/>
  <c r="D67" i="37"/>
  <c r="C67" i="37"/>
  <c r="B67" i="37"/>
  <c r="M66" i="37"/>
  <c r="L66" i="37"/>
  <c r="K66" i="37"/>
  <c r="J66" i="37"/>
  <c r="I66" i="37"/>
  <c r="H66" i="37"/>
  <c r="G66" i="37"/>
  <c r="F66" i="37"/>
  <c r="E66" i="37"/>
  <c r="D66" i="37"/>
  <c r="C66" i="37"/>
  <c r="B66" i="37"/>
  <c r="M61" i="37"/>
  <c r="L61" i="37"/>
  <c r="K61" i="37"/>
  <c r="J61" i="37"/>
  <c r="I61" i="37"/>
  <c r="H61" i="37"/>
  <c r="G61" i="37"/>
  <c r="F61" i="37"/>
  <c r="E61" i="37"/>
  <c r="D61" i="37"/>
  <c r="C61" i="37"/>
  <c r="B61" i="37"/>
  <c r="M60" i="37"/>
  <c r="L60" i="37"/>
  <c r="K60" i="37"/>
  <c r="J60" i="37"/>
  <c r="I60" i="37"/>
  <c r="H60" i="37"/>
  <c r="G60" i="37"/>
  <c r="F60" i="37"/>
  <c r="E60" i="37"/>
  <c r="D60" i="37"/>
  <c r="C60" i="37"/>
  <c r="M59" i="37"/>
  <c r="L59" i="37"/>
  <c r="K59" i="37"/>
  <c r="J59" i="37"/>
  <c r="I59" i="37"/>
  <c r="H59" i="37"/>
  <c r="G59" i="37"/>
  <c r="F59" i="37"/>
  <c r="E59" i="37"/>
  <c r="D59" i="37"/>
  <c r="C59" i="37"/>
  <c r="M58" i="37"/>
  <c r="L58" i="37"/>
  <c r="K58" i="37"/>
  <c r="J58" i="37"/>
  <c r="I58" i="37"/>
  <c r="H58" i="37"/>
  <c r="G58" i="37"/>
  <c r="F58" i="37"/>
  <c r="E58" i="37"/>
  <c r="D58" i="37"/>
  <c r="C58" i="37"/>
  <c r="B58" i="37"/>
  <c r="M57" i="37"/>
  <c r="L57" i="37"/>
  <c r="K57" i="37"/>
  <c r="J57" i="37"/>
  <c r="I57" i="37"/>
  <c r="H57" i="37"/>
  <c r="G57" i="37"/>
  <c r="F57" i="37"/>
  <c r="E57" i="37"/>
  <c r="D57" i="37"/>
  <c r="C57" i="37"/>
  <c r="B57" i="37"/>
  <c r="M56" i="37"/>
  <c r="L56" i="37"/>
  <c r="K56" i="37"/>
  <c r="J56" i="37"/>
  <c r="I56" i="37"/>
  <c r="H56" i="37"/>
  <c r="G56" i="37"/>
  <c r="F56" i="37"/>
  <c r="E56" i="37"/>
  <c r="D56" i="37"/>
  <c r="C56" i="37"/>
  <c r="B56" i="37"/>
  <c r="M54" i="37"/>
  <c r="L54" i="37"/>
  <c r="K54" i="37"/>
  <c r="J54" i="37"/>
  <c r="I54" i="37"/>
  <c r="H54" i="37"/>
  <c r="G54" i="37"/>
  <c r="F54" i="37"/>
  <c r="E54" i="37"/>
  <c r="D54" i="37"/>
  <c r="C54" i="37"/>
  <c r="B54" i="37"/>
  <c r="N53" i="37"/>
  <c r="N52" i="37"/>
  <c r="N51" i="37"/>
  <c r="N50" i="37"/>
  <c r="N49" i="37"/>
  <c r="N48" i="37"/>
  <c r="N47" i="37"/>
  <c r="N46" i="37"/>
  <c r="N45" i="37"/>
  <c r="N44" i="37"/>
  <c r="N43" i="37"/>
  <c r="N42" i="37"/>
  <c r="N41" i="37"/>
  <c r="N40" i="37"/>
  <c r="N39" i="37"/>
  <c r="N38" i="37"/>
  <c r="N37" i="37"/>
  <c r="N36" i="37"/>
  <c r="N35" i="37"/>
  <c r="N34" i="37"/>
  <c r="N33" i="37"/>
  <c r="N32" i="37"/>
  <c r="N31" i="37"/>
  <c r="N30" i="37"/>
  <c r="N29" i="37"/>
  <c r="N28" i="37"/>
  <c r="N27" i="37"/>
  <c r="N26" i="37"/>
  <c r="N25" i="37"/>
  <c r="N24" i="37"/>
  <c r="N23" i="37"/>
  <c r="N22" i="37"/>
  <c r="N21" i="37"/>
  <c r="N20" i="37"/>
  <c r="N19" i="37"/>
  <c r="N17" i="37"/>
  <c r="N16" i="37"/>
  <c r="N15" i="37"/>
  <c r="N14" i="37"/>
  <c r="N13" i="37"/>
  <c r="N12" i="37"/>
  <c r="N11" i="37"/>
  <c r="N10" i="37"/>
  <c r="N9" i="37"/>
  <c r="N8" i="37"/>
  <c r="N7" i="37"/>
  <c r="N6" i="37"/>
  <c r="N5" i="37"/>
  <c r="N4" i="37"/>
  <c r="L69" i="36"/>
  <c r="M71" i="36"/>
  <c r="L71" i="36"/>
  <c r="K71" i="36"/>
  <c r="J71" i="36"/>
  <c r="I71" i="36"/>
  <c r="H71" i="36"/>
  <c r="G71" i="36"/>
  <c r="F71" i="36"/>
  <c r="E71" i="36"/>
  <c r="D71" i="36"/>
  <c r="C71" i="36"/>
  <c r="B71" i="36"/>
  <c r="M70" i="36"/>
  <c r="L70" i="36"/>
  <c r="K70" i="36"/>
  <c r="J70" i="36"/>
  <c r="I70" i="36"/>
  <c r="H70" i="36"/>
  <c r="G70" i="36"/>
  <c r="F70" i="36"/>
  <c r="E70" i="36"/>
  <c r="D70" i="36"/>
  <c r="C70" i="36"/>
  <c r="B70" i="36"/>
  <c r="M69" i="36"/>
  <c r="K69" i="36"/>
  <c r="J69" i="36"/>
  <c r="I69" i="36"/>
  <c r="H69" i="36"/>
  <c r="G69" i="36"/>
  <c r="F69" i="36"/>
  <c r="E69" i="36"/>
  <c r="D69" i="36"/>
  <c r="C69" i="36"/>
  <c r="B69" i="36"/>
  <c r="M68" i="36"/>
  <c r="L68" i="36"/>
  <c r="K68" i="36"/>
  <c r="J68" i="36"/>
  <c r="I68" i="36"/>
  <c r="H68" i="36"/>
  <c r="G68" i="36"/>
  <c r="F68" i="36"/>
  <c r="E68" i="36"/>
  <c r="D68" i="36"/>
  <c r="C68" i="36"/>
  <c r="B68" i="36"/>
  <c r="M67" i="36"/>
  <c r="L67" i="36"/>
  <c r="K67" i="36"/>
  <c r="J67" i="36"/>
  <c r="I67" i="36"/>
  <c r="H67" i="36"/>
  <c r="G67" i="36"/>
  <c r="F67" i="36"/>
  <c r="E67" i="36"/>
  <c r="D67" i="36"/>
  <c r="C67" i="36"/>
  <c r="B67" i="36"/>
  <c r="M66" i="36"/>
  <c r="L66" i="36"/>
  <c r="K66" i="36"/>
  <c r="J66" i="36"/>
  <c r="I66" i="36"/>
  <c r="H66" i="36"/>
  <c r="G66" i="36"/>
  <c r="F66" i="36"/>
  <c r="E66" i="36"/>
  <c r="D66" i="36"/>
  <c r="C66" i="36"/>
  <c r="B66" i="36"/>
  <c r="M65" i="36"/>
  <c r="K65" i="36"/>
  <c r="J65" i="36"/>
  <c r="I65" i="36"/>
  <c r="H65" i="36"/>
  <c r="G65" i="36"/>
  <c r="F65" i="36"/>
  <c r="E65" i="36"/>
  <c r="D65" i="36"/>
  <c r="C65" i="36"/>
  <c r="B65" i="36"/>
  <c r="M60" i="36"/>
  <c r="K60" i="36"/>
  <c r="J60" i="36"/>
  <c r="I60" i="36"/>
  <c r="H60" i="36"/>
  <c r="G60" i="36"/>
  <c r="F60" i="36"/>
  <c r="E60" i="36"/>
  <c r="D60" i="36"/>
  <c r="C60" i="36"/>
  <c r="B60" i="36"/>
  <c r="M59" i="36"/>
  <c r="K59" i="36"/>
  <c r="J59" i="36"/>
  <c r="I59" i="36"/>
  <c r="H59" i="36"/>
  <c r="G59" i="36"/>
  <c r="F59" i="36"/>
  <c r="E59" i="36"/>
  <c r="D59" i="36"/>
  <c r="C59" i="36"/>
  <c r="B59" i="36"/>
  <c r="M58" i="36"/>
  <c r="K58" i="36"/>
  <c r="J58" i="36"/>
  <c r="I58" i="36"/>
  <c r="H58" i="36"/>
  <c r="G58" i="36"/>
  <c r="F58" i="36"/>
  <c r="E58" i="36"/>
  <c r="D58" i="36"/>
  <c r="C58" i="36"/>
  <c r="B58" i="36"/>
  <c r="M57" i="36"/>
  <c r="L57" i="36"/>
  <c r="K57" i="36"/>
  <c r="J57" i="36"/>
  <c r="I57" i="36"/>
  <c r="H57" i="36"/>
  <c r="G57" i="36"/>
  <c r="F57" i="36"/>
  <c r="E57" i="36"/>
  <c r="D57" i="36"/>
  <c r="C57" i="36"/>
  <c r="B57" i="36"/>
  <c r="M56" i="36"/>
  <c r="K56" i="36"/>
  <c r="J56" i="36"/>
  <c r="I56" i="36"/>
  <c r="H56" i="36"/>
  <c r="G56" i="36"/>
  <c r="F56" i="36"/>
  <c r="E56" i="36"/>
  <c r="D56" i="36"/>
  <c r="C56" i="36"/>
  <c r="B56" i="36"/>
  <c r="M55" i="36"/>
  <c r="K55" i="36"/>
  <c r="J55" i="36"/>
  <c r="I55" i="36"/>
  <c r="H55" i="36"/>
  <c r="G55" i="36"/>
  <c r="F55" i="36"/>
  <c r="E55" i="36"/>
  <c r="D55" i="36"/>
  <c r="C55" i="36"/>
  <c r="B55" i="36"/>
  <c r="M53" i="36"/>
  <c r="K53" i="36"/>
  <c r="J53" i="36"/>
  <c r="I53" i="36"/>
  <c r="H53" i="36"/>
  <c r="G53" i="36"/>
  <c r="F53" i="36"/>
  <c r="E53" i="36"/>
  <c r="D53" i="36"/>
  <c r="C53" i="36"/>
  <c r="B53" i="36"/>
  <c r="N52" i="36"/>
  <c r="N51" i="36"/>
  <c r="N50" i="36"/>
  <c r="N49" i="36"/>
  <c r="N48" i="36"/>
  <c r="N47" i="36"/>
  <c r="N46" i="36"/>
  <c r="N45" i="36"/>
  <c r="N44" i="36"/>
  <c r="N43" i="36"/>
  <c r="N42" i="36"/>
  <c r="N41" i="36"/>
  <c r="N40" i="36"/>
  <c r="N39" i="36"/>
  <c r="N38" i="36"/>
  <c r="N37" i="36"/>
  <c r="N36" i="36"/>
  <c r="N35" i="36"/>
  <c r="N34" i="36"/>
  <c r="N33" i="36"/>
  <c r="N32" i="36"/>
  <c r="N31" i="36"/>
  <c r="N30" i="36"/>
  <c r="N29" i="36"/>
  <c r="N28" i="36"/>
  <c r="N27" i="36"/>
  <c r="N26" i="36"/>
  <c r="N25" i="36"/>
  <c r="N24" i="36"/>
  <c r="N23" i="36"/>
  <c r="N22" i="36"/>
  <c r="N21" i="36"/>
  <c r="N20" i="36"/>
  <c r="N19" i="36"/>
  <c r="N18" i="36"/>
  <c r="N17" i="36"/>
  <c r="N16" i="36"/>
  <c r="N15" i="36"/>
  <c r="N14" i="36"/>
  <c r="N13" i="36"/>
  <c r="N11" i="36"/>
  <c r="N10" i="36"/>
  <c r="N9" i="36"/>
  <c r="N8" i="36"/>
  <c r="N7" i="36"/>
  <c r="N5" i="36"/>
  <c r="N4" i="36"/>
  <c r="N29" i="38" l="1"/>
  <c r="N78" i="38" s="1"/>
  <c r="N39" i="38"/>
  <c r="N80" i="38" s="1"/>
  <c r="I71" i="38"/>
  <c r="B64" i="38"/>
  <c r="N16" i="38"/>
  <c r="N77" i="38"/>
  <c r="N82" i="38"/>
  <c r="N79" i="38"/>
  <c r="N66" i="38"/>
  <c r="N81" i="38"/>
  <c r="N71" i="38"/>
  <c r="N57" i="37"/>
  <c r="N67" i="37"/>
  <c r="N58" i="37"/>
  <c r="N61" i="37"/>
  <c r="N68" i="37"/>
  <c r="N69" i="37"/>
  <c r="N54" i="37"/>
  <c r="N70" i="37"/>
  <c r="N71" i="37"/>
  <c r="N59" i="37"/>
  <c r="N72" i="37"/>
  <c r="N66" i="37"/>
  <c r="N60" i="37"/>
  <c r="N56" i="37"/>
  <c r="L59" i="36"/>
  <c r="L56" i="36"/>
  <c r="N12" i="36"/>
  <c r="N56" i="36" s="1"/>
  <c r="L55" i="36"/>
  <c r="N6" i="36"/>
  <c r="L53" i="36"/>
  <c r="L65" i="36"/>
  <c r="L60" i="36"/>
  <c r="L58" i="36"/>
  <c r="N71" i="36"/>
  <c r="N66" i="36"/>
  <c r="N67" i="36"/>
  <c r="N68" i="36"/>
  <c r="N55" i="36"/>
  <c r="N70" i="36"/>
  <c r="N57" i="36"/>
  <c r="M71" i="35"/>
  <c r="L71" i="35"/>
  <c r="K71" i="35"/>
  <c r="J71" i="35"/>
  <c r="I71" i="35"/>
  <c r="H71" i="35"/>
  <c r="G71" i="35"/>
  <c r="F71" i="35"/>
  <c r="E71" i="35"/>
  <c r="D71" i="35"/>
  <c r="C71" i="35"/>
  <c r="B71" i="35"/>
  <c r="M70" i="35"/>
  <c r="L70" i="35"/>
  <c r="K70" i="35"/>
  <c r="J70" i="35"/>
  <c r="I70" i="35"/>
  <c r="H70" i="35"/>
  <c r="G70" i="35"/>
  <c r="F70" i="35"/>
  <c r="E70" i="35"/>
  <c r="D70" i="35"/>
  <c r="C70" i="35"/>
  <c r="B70" i="35"/>
  <c r="M69" i="35"/>
  <c r="L69" i="35"/>
  <c r="K69" i="35"/>
  <c r="J69" i="35"/>
  <c r="I69" i="35"/>
  <c r="H69" i="35"/>
  <c r="G69" i="35"/>
  <c r="F69" i="35"/>
  <c r="E69" i="35"/>
  <c r="D69" i="35"/>
  <c r="C69" i="35"/>
  <c r="B69" i="35"/>
  <c r="M68" i="35"/>
  <c r="L68" i="35"/>
  <c r="K68" i="35"/>
  <c r="J68" i="35"/>
  <c r="I68" i="35"/>
  <c r="H68" i="35"/>
  <c r="G68" i="35"/>
  <c r="F68" i="35"/>
  <c r="E68" i="35"/>
  <c r="D68" i="35"/>
  <c r="C68" i="35"/>
  <c r="B68" i="35"/>
  <c r="M67" i="35"/>
  <c r="L67" i="35"/>
  <c r="K67" i="35"/>
  <c r="J67" i="35"/>
  <c r="I67" i="35"/>
  <c r="H67" i="35"/>
  <c r="G67" i="35"/>
  <c r="F67" i="35"/>
  <c r="E67" i="35"/>
  <c r="D67" i="35"/>
  <c r="C67" i="35"/>
  <c r="B67" i="35"/>
  <c r="M66" i="35"/>
  <c r="L66" i="35"/>
  <c r="K66" i="35"/>
  <c r="J66" i="35"/>
  <c r="I66" i="35"/>
  <c r="H66" i="35"/>
  <c r="G66" i="35"/>
  <c r="F66" i="35"/>
  <c r="E66" i="35"/>
  <c r="D66" i="35"/>
  <c r="C66" i="35"/>
  <c r="B66" i="35"/>
  <c r="M65" i="35"/>
  <c r="L65" i="35"/>
  <c r="K65" i="35"/>
  <c r="J65" i="35"/>
  <c r="I65" i="35"/>
  <c r="H65" i="35"/>
  <c r="G65" i="35"/>
  <c r="F65" i="35"/>
  <c r="E65" i="35"/>
  <c r="D65" i="35"/>
  <c r="C65" i="35"/>
  <c r="B65" i="35"/>
  <c r="M60" i="35"/>
  <c r="L60" i="35"/>
  <c r="K60" i="35"/>
  <c r="J60" i="35"/>
  <c r="I60" i="35"/>
  <c r="H60" i="35"/>
  <c r="G60" i="35"/>
  <c r="F60" i="35"/>
  <c r="E60" i="35"/>
  <c r="D60" i="35"/>
  <c r="C60" i="35"/>
  <c r="B60" i="35"/>
  <c r="M59" i="35"/>
  <c r="L59" i="35"/>
  <c r="K59" i="35"/>
  <c r="J59" i="35"/>
  <c r="I59" i="35"/>
  <c r="H59" i="35"/>
  <c r="G59" i="35"/>
  <c r="F59" i="35"/>
  <c r="E59" i="35"/>
  <c r="D59" i="35"/>
  <c r="C59" i="35"/>
  <c r="B59" i="35"/>
  <c r="M58" i="35"/>
  <c r="L58" i="35"/>
  <c r="K58" i="35"/>
  <c r="J58" i="35"/>
  <c r="I58" i="35"/>
  <c r="H58" i="35"/>
  <c r="G58" i="35"/>
  <c r="F58" i="35"/>
  <c r="E58" i="35"/>
  <c r="D58" i="35"/>
  <c r="C58" i="35"/>
  <c r="B58" i="35"/>
  <c r="M57" i="35"/>
  <c r="L57" i="35"/>
  <c r="K57" i="35"/>
  <c r="J57" i="35"/>
  <c r="I57" i="35"/>
  <c r="H57" i="35"/>
  <c r="G57" i="35"/>
  <c r="F57" i="35"/>
  <c r="E57" i="35"/>
  <c r="D57" i="35"/>
  <c r="C57" i="35"/>
  <c r="B57" i="35"/>
  <c r="M56" i="35"/>
  <c r="L56" i="35"/>
  <c r="K56" i="35"/>
  <c r="J56" i="35"/>
  <c r="I56" i="35"/>
  <c r="H56" i="35"/>
  <c r="G56" i="35"/>
  <c r="F56" i="35"/>
  <c r="E56" i="35"/>
  <c r="D56" i="35"/>
  <c r="C56" i="35"/>
  <c r="B56" i="35"/>
  <c r="M55" i="35"/>
  <c r="L55" i="35"/>
  <c r="K55" i="35"/>
  <c r="J55" i="35"/>
  <c r="I55" i="35"/>
  <c r="H55" i="35"/>
  <c r="G55" i="35"/>
  <c r="F55" i="35"/>
  <c r="E55" i="35"/>
  <c r="D55" i="35"/>
  <c r="C55" i="35"/>
  <c r="B55" i="35"/>
  <c r="M53" i="35"/>
  <c r="L53" i="35"/>
  <c r="K53" i="35"/>
  <c r="J53" i="35"/>
  <c r="I53" i="35"/>
  <c r="H53" i="35"/>
  <c r="G53" i="35"/>
  <c r="F53" i="35"/>
  <c r="E53" i="35"/>
  <c r="D53" i="35"/>
  <c r="C53" i="35"/>
  <c r="B53" i="35"/>
  <c r="N52" i="35"/>
  <c r="N51" i="35"/>
  <c r="N50" i="35"/>
  <c r="N49" i="35"/>
  <c r="N48" i="35"/>
  <c r="N47" i="35"/>
  <c r="N46" i="35"/>
  <c r="N45" i="35"/>
  <c r="N44" i="35"/>
  <c r="N43" i="35"/>
  <c r="N42" i="35"/>
  <c r="N41" i="35"/>
  <c r="N40" i="35"/>
  <c r="N39" i="35"/>
  <c r="N38" i="35"/>
  <c r="N37" i="35"/>
  <c r="N36" i="35"/>
  <c r="N35" i="35"/>
  <c r="N34" i="35"/>
  <c r="N33" i="35"/>
  <c r="N32" i="35"/>
  <c r="N31" i="35"/>
  <c r="N30" i="35"/>
  <c r="N29" i="35"/>
  <c r="N28" i="35"/>
  <c r="N27" i="35"/>
  <c r="N26" i="35"/>
  <c r="N25" i="35"/>
  <c r="N24" i="35"/>
  <c r="N23" i="35"/>
  <c r="N22" i="35"/>
  <c r="N21" i="35"/>
  <c r="N20" i="35"/>
  <c r="N19" i="35"/>
  <c r="N18" i="35"/>
  <c r="N17" i="35"/>
  <c r="N16" i="35"/>
  <c r="N15" i="35"/>
  <c r="N14" i="35"/>
  <c r="N13" i="35"/>
  <c r="N12" i="35"/>
  <c r="N11" i="35"/>
  <c r="N10" i="35"/>
  <c r="N9" i="35"/>
  <c r="N8" i="35"/>
  <c r="N7" i="35"/>
  <c r="N6" i="35"/>
  <c r="N5" i="35"/>
  <c r="N4" i="35"/>
  <c r="N68" i="38" l="1"/>
  <c r="N64" i="38"/>
  <c r="N67" i="38"/>
  <c r="N69" i="38"/>
  <c r="N76" i="38"/>
  <c r="N70" i="38"/>
  <c r="N60" i="36"/>
  <c r="N58" i="36"/>
  <c r="N53" i="36"/>
  <c r="N69" i="36"/>
  <c r="N65" i="36"/>
  <c r="N59" i="36"/>
  <c r="N71" i="35"/>
  <c r="N67" i="35"/>
  <c r="N69" i="35"/>
  <c r="N70" i="35"/>
  <c r="N68" i="35"/>
  <c r="N66" i="35"/>
  <c r="N55" i="35"/>
  <c r="N58" i="35"/>
  <c r="N53" i="35"/>
  <c r="N59" i="35"/>
  <c r="N56" i="35"/>
  <c r="N60" i="35"/>
  <c r="N57" i="35"/>
  <c r="N65" i="35"/>
  <c r="H53" i="34"/>
  <c r="M71" i="34" l="1"/>
  <c r="L71" i="34"/>
  <c r="K71" i="34"/>
  <c r="J71" i="34"/>
  <c r="I71" i="34"/>
  <c r="H71" i="34"/>
  <c r="G71" i="34"/>
  <c r="F71" i="34"/>
  <c r="E71" i="34"/>
  <c r="D71" i="34"/>
  <c r="C71" i="34"/>
  <c r="B71" i="34"/>
  <c r="M70" i="34"/>
  <c r="L70" i="34"/>
  <c r="K70" i="34"/>
  <c r="J70" i="34"/>
  <c r="I70" i="34"/>
  <c r="H70" i="34"/>
  <c r="G70" i="34"/>
  <c r="F70" i="34"/>
  <c r="E70" i="34"/>
  <c r="D70" i="34"/>
  <c r="C70" i="34"/>
  <c r="B70" i="34"/>
  <c r="M69" i="34"/>
  <c r="L69" i="34"/>
  <c r="K69" i="34"/>
  <c r="J69" i="34"/>
  <c r="I69" i="34"/>
  <c r="H69" i="34"/>
  <c r="G69" i="34"/>
  <c r="F69" i="34"/>
  <c r="E69" i="34"/>
  <c r="D69" i="34"/>
  <c r="C69" i="34"/>
  <c r="B69" i="34"/>
  <c r="M68" i="34"/>
  <c r="L68" i="34"/>
  <c r="K68" i="34"/>
  <c r="J68" i="34"/>
  <c r="I68" i="34"/>
  <c r="H68" i="34"/>
  <c r="G68" i="34"/>
  <c r="F68" i="34"/>
  <c r="E68" i="34"/>
  <c r="D68" i="34"/>
  <c r="C68" i="34"/>
  <c r="B68" i="34"/>
  <c r="M67" i="34"/>
  <c r="L67" i="34"/>
  <c r="K67" i="34"/>
  <c r="J67" i="34"/>
  <c r="I67" i="34"/>
  <c r="H67" i="34"/>
  <c r="G67" i="34"/>
  <c r="F67" i="34"/>
  <c r="E67" i="34"/>
  <c r="D67" i="34"/>
  <c r="C67" i="34"/>
  <c r="B67" i="34"/>
  <c r="M66" i="34"/>
  <c r="L66" i="34"/>
  <c r="K66" i="34"/>
  <c r="J66" i="34"/>
  <c r="I66" i="34"/>
  <c r="H66" i="34"/>
  <c r="G66" i="34"/>
  <c r="F66" i="34"/>
  <c r="E66" i="34"/>
  <c r="D66" i="34"/>
  <c r="C66" i="34"/>
  <c r="B66" i="34"/>
  <c r="M65" i="34"/>
  <c r="L65" i="34"/>
  <c r="K65" i="34"/>
  <c r="J65" i="34"/>
  <c r="I65" i="34"/>
  <c r="H65" i="34"/>
  <c r="G65" i="34"/>
  <c r="F65" i="34"/>
  <c r="E65" i="34"/>
  <c r="D65" i="34"/>
  <c r="C65" i="34"/>
  <c r="B65" i="34"/>
  <c r="M60" i="34"/>
  <c r="L60" i="34"/>
  <c r="K60" i="34"/>
  <c r="J60" i="34"/>
  <c r="I60" i="34"/>
  <c r="H60" i="34"/>
  <c r="G60" i="34"/>
  <c r="F60" i="34"/>
  <c r="E60" i="34"/>
  <c r="D60" i="34"/>
  <c r="C60" i="34"/>
  <c r="B60" i="34"/>
  <c r="M59" i="34"/>
  <c r="L59" i="34"/>
  <c r="K59" i="34"/>
  <c r="J59" i="34"/>
  <c r="I59" i="34"/>
  <c r="H59" i="34"/>
  <c r="G59" i="34"/>
  <c r="F59" i="34"/>
  <c r="E59" i="34"/>
  <c r="D59" i="34"/>
  <c r="C59" i="34"/>
  <c r="B59" i="34"/>
  <c r="M58" i="34"/>
  <c r="L58" i="34"/>
  <c r="K58" i="34"/>
  <c r="J58" i="34"/>
  <c r="I58" i="34"/>
  <c r="H58" i="34"/>
  <c r="G58" i="34"/>
  <c r="F58" i="34"/>
  <c r="E58" i="34"/>
  <c r="D58" i="34"/>
  <c r="C58" i="34"/>
  <c r="B58" i="34"/>
  <c r="M57" i="34"/>
  <c r="L57" i="34"/>
  <c r="K57" i="34"/>
  <c r="J57" i="34"/>
  <c r="I57" i="34"/>
  <c r="H57" i="34"/>
  <c r="G57" i="34"/>
  <c r="F57" i="34"/>
  <c r="E57" i="34"/>
  <c r="D57" i="34"/>
  <c r="C57" i="34"/>
  <c r="B57" i="34"/>
  <c r="M56" i="34"/>
  <c r="L56" i="34"/>
  <c r="K56" i="34"/>
  <c r="J56" i="34"/>
  <c r="I56" i="34"/>
  <c r="H56" i="34"/>
  <c r="G56" i="34"/>
  <c r="F56" i="34"/>
  <c r="E56" i="34"/>
  <c r="D56" i="34"/>
  <c r="C56" i="34"/>
  <c r="B56" i="34"/>
  <c r="M55" i="34"/>
  <c r="L55" i="34"/>
  <c r="K55" i="34"/>
  <c r="J55" i="34"/>
  <c r="I55" i="34"/>
  <c r="H55" i="34"/>
  <c r="G55" i="34"/>
  <c r="F55" i="34"/>
  <c r="E55" i="34"/>
  <c r="D55" i="34"/>
  <c r="C55" i="34"/>
  <c r="B55" i="34"/>
  <c r="M53" i="34"/>
  <c r="L53" i="34"/>
  <c r="K53" i="34"/>
  <c r="J53" i="34"/>
  <c r="I53" i="34"/>
  <c r="G53" i="34"/>
  <c r="F53" i="34"/>
  <c r="E53" i="34"/>
  <c r="D53" i="34"/>
  <c r="C53" i="34"/>
  <c r="B53" i="34"/>
  <c r="N52" i="34"/>
  <c r="N51" i="34"/>
  <c r="N50" i="34"/>
  <c r="N49" i="34"/>
  <c r="N48" i="34"/>
  <c r="N47" i="34"/>
  <c r="N46" i="34"/>
  <c r="N45" i="34"/>
  <c r="N44" i="34"/>
  <c r="N43" i="34"/>
  <c r="N42" i="34"/>
  <c r="N41" i="34"/>
  <c r="N40" i="34"/>
  <c r="N39" i="34"/>
  <c r="N38" i="34"/>
  <c r="N37" i="34"/>
  <c r="N36" i="34"/>
  <c r="N35" i="34"/>
  <c r="N34" i="34"/>
  <c r="N33" i="34"/>
  <c r="N32" i="34"/>
  <c r="N31" i="34"/>
  <c r="N30" i="34"/>
  <c r="N29" i="34"/>
  <c r="N28" i="34"/>
  <c r="N27" i="34"/>
  <c r="N26" i="34"/>
  <c r="N25" i="34"/>
  <c r="N24" i="34"/>
  <c r="N23" i="34"/>
  <c r="N22" i="34"/>
  <c r="N21" i="34"/>
  <c r="N20" i="34"/>
  <c r="N19" i="34"/>
  <c r="N18" i="34"/>
  <c r="N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4" i="34"/>
  <c r="N70" i="34" l="1"/>
  <c r="N56" i="34"/>
  <c r="N55" i="34"/>
  <c r="N68" i="34"/>
  <c r="N71" i="34"/>
  <c r="N59" i="34"/>
  <c r="N66" i="34"/>
  <c r="N67" i="34"/>
  <c r="N69" i="34"/>
  <c r="N60" i="34"/>
  <c r="N53" i="34"/>
  <c r="N58" i="34"/>
  <c r="N57" i="34"/>
  <c r="N65" i="34"/>
  <c r="M71" i="33"/>
  <c r="L71" i="33"/>
  <c r="K71" i="33"/>
  <c r="J71" i="33"/>
  <c r="I71" i="33"/>
  <c r="H71" i="33"/>
  <c r="G71" i="33"/>
  <c r="F71" i="33"/>
  <c r="E71" i="33"/>
  <c r="D71" i="33"/>
  <c r="C71" i="33"/>
  <c r="B71" i="33"/>
  <c r="M70" i="33"/>
  <c r="L70" i="33"/>
  <c r="K70" i="33"/>
  <c r="J70" i="33"/>
  <c r="I70" i="33"/>
  <c r="H70" i="33"/>
  <c r="G70" i="33"/>
  <c r="F70" i="33"/>
  <c r="E70" i="33"/>
  <c r="D70" i="33"/>
  <c r="C70" i="33"/>
  <c r="B70" i="33"/>
  <c r="M69" i="33"/>
  <c r="L69" i="33"/>
  <c r="K69" i="33"/>
  <c r="J69" i="33"/>
  <c r="I69" i="33"/>
  <c r="H69" i="33"/>
  <c r="G69" i="33"/>
  <c r="F69" i="33"/>
  <c r="E69" i="33"/>
  <c r="D69" i="33"/>
  <c r="C69" i="33"/>
  <c r="B69" i="33"/>
  <c r="M68" i="33"/>
  <c r="L68" i="33"/>
  <c r="K68" i="33"/>
  <c r="J68" i="33"/>
  <c r="I68" i="33"/>
  <c r="H68" i="33"/>
  <c r="G68" i="33"/>
  <c r="F68" i="33"/>
  <c r="E68" i="33"/>
  <c r="D68" i="33"/>
  <c r="C68" i="33"/>
  <c r="B68" i="33"/>
  <c r="M67" i="33"/>
  <c r="L67" i="33"/>
  <c r="K67" i="33"/>
  <c r="J67" i="33"/>
  <c r="I67" i="33"/>
  <c r="H67" i="33"/>
  <c r="G67" i="33"/>
  <c r="F67" i="33"/>
  <c r="E67" i="33"/>
  <c r="D67" i="33"/>
  <c r="C67" i="33"/>
  <c r="B67" i="33"/>
  <c r="M66" i="33"/>
  <c r="L66" i="33"/>
  <c r="K66" i="33"/>
  <c r="J66" i="33"/>
  <c r="I66" i="33"/>
  <c r="H66" i="33"/>
  <c r="G66" i="33"/>
  <c r="F66" i="33"/>
  <c r="E66" i="33"/>
  <c r="D66" i="33"/>
  <c r="C66" i="33"/>
  <c r="B66" i="33"/>
  <c r="M65" i="33"/>
  <c r="L65" i="33"/>
  <c r="K65" i="33"/>
  <c r="J65" i="33"/>
  <c r="I65" i="33"/>
  <c r="H65" i="33"/>
  <c r="G65" i="33"/>
  <c r="F65" i="33"/>
  <c r="E65" i="33"/>
  <c r="D65" i="33"/>
  <c r="C65" i="33"/>
  <c r="B65" i="33"/>
  <c r="M60" i="33"/>
  <c r="L60" i="33"/>
  <c r="K60" i="33"/>
  <c r="J60" i="33"/>
  <c r="I60" i="33"/>
  <c r="H60" i="33"/>
  <c r="G60" i="33"/>
  <c r="F60" i="33"/>
  <c r="E60" i="33"/>
  <c r="D60" i="33"/>
  <c r="C60" i="33"/>
  <c r="B60" i="33"/>
  <c r="M59" i="33"/>
  <c r="L59" i="33"/>
  <c r="K59" i="33"/>
  <c r="J59" i="33"/>
  <c r="I59" i="33"/>
  <c r="H59" i="33"/>
  <c r="G59" i="33"/>
  <c r="F59" i="33"/>
  <c r="E59" i="33"/>
  <c r="D59" i="33"/>
  <c r="C59" i="33"/>
  <c r="B59" i="33"/>
  <c r="M58" i="33"/>
  <c r="L58" i="33"/>
  <c r="K58" i="33"/>
  <c r="J58" i="33"/>
  <c r="I58" i="33"/>
  <c r="H58" i="33"/>
  <c r="G58" i="33"/>
  <c r="F58" i="33"/>
  <c r="E58" i="33"/>
  <c r="D58" i="33"/>
  <c r="C58" i="33"/>
  <c r="B58" i="33"/>
  <c r="M57" i="33"/>
  <c r="L57" i="33"/>
  <c r="K57" i="33"/>
  <c r="J57" i="33"/>
  <c r="I57" i="33"/>
  <c r="H57" i="33"/>
  <c r="G57" i="33"/>
  <c r="F57" i="33"/>
  <c r="E57" i="33"/>
  <c r="D57" i="33"/>
  <c r="C57" i="33"/>
  <c r="B57" i="33"/>
  <c r="M56" i="33"/>
  <c r="L56" i="33"/>
  <c r="K56" i="33"/>
  <c r="J56" i="33"/>
  <c r="I56" i="33"/>
  <c r="H56" i="33"/>
  <c r="G56" i="33"/>
  <c r="F56" i="33"/>
  <c r="E56" i="33"/>
  <c r="D56" i="33"/>
  <c r="C56" i="33"/>
  <c r="B56" i="33"/>
  <c r="M55" i="33"/>
  <c r="L55" i="33"/>
  <c r="K55" i="33"/>
  <c r="J55" i="33"/>
  <c r="I55" i="33"/>
  <c r="H55" i="33"/>
  <c r="G55" i="33"/>
  <c r="F55" i="33"/>
  <c r="E55" i="33"/>
  <c r="D55" i="33"/>
  <c r="C55" i="33"/>
  <c r="B55" i="33"/>
  <c r="M53" i="33"/>
  <c r="L53" i="33"/>
  <c r="K53" i="33"/>
  <c r="J53" i="33"/>
  <c r="I53" i="33"/>
  <c r="H53" i="33"/>
  <c r="G53" i="33"/>
  <c r="F53" i="33"/>
  <c r="E53" i="33"/>
  <c r="D53" i="33"/>
  <c r="C53" i="33"/>
  <c r="B53" i="33"/>
  <c r="N52" i="33"/>
  <c r="N51" i="33"/>
  <c r="N50" i="33"/>
  <c r="N49" i="33"/>
  <c r="N48" i="33"/>
  <c r="N47" i="33"/>
  <c r="N46" i="33"/>
  <c r="N45" i="33"/>
  <c r="N44" i="33"/>
  <c r="N43" i="33"/>
  <c r="N42" i="33"/>
  <c r="N41" i="33"/>
  <c r="N40" i="33"/>
  <c r="N39" i="33"/>
  <c r="N38" i="33"/>
  <c r="N37" i="33"/>
  <c r="N36" i="33"/>
  <c r="N35" i="33"/>
  <c r="N34" i="33"/>
  <c r="N33" i="33"/>
  <c r="N32" i="33"/>
  <c r="N31" i="33"/>
  <c r="N30" i="33"/>
  <c r="N29" i="33"/>
  <c r="N28" i="33"/>
  <c r="N27" i="33"/>
  <c r="N26" i="33"/>
  <c r="N25" i="33"/>
  <c r="N24" i="33"/>
  <c r="N23" i="33"/>
  <c r="N22" i="33"/>
  <c r="N21" i="33"/>
  <c r="N20" i="33"/>
  <c r="N19" i="33"/>
  <c r="N18" i="33"/>
  <c r="N17" i="33"/>
  <c r="N16" i="33"/>
  <c r="N15" i="33"/>
  <c r="N14" i="33"/>
  <c r="N13" i="33"/>
  <c r="N12" i="33"/>
  <c r="N11" i="33"/>
  <c r="N10" i="33"/>
  <c r="N9" i="33"/>
  <c r="N8" i="33"/>
  <c r="N7" i="33"/>
  <c r="N6" i="33"/>
  <c r="N5" i="33"/>
  <c r="N4" i="33"/>
  <c r="N67" i="33" l="1"/>
  <c r="N69" i="33"/>
  <c r="N66" i="33"/>
  <c r="N70" i="33"/>
  <c r="N71" i="33"/>
  <c r="N59" i="33"/>
  <c r="N68" i="33"/>
  <c r="N55" i="33"/>
  <c r="N56" i="33"/>
  <c r="N60" i="33"/>
  <c r="N57" i="33"/>
  <c r="N65" i="33"/>
  <c r="N53" i="33"/>
  <c r="N58" i="33"/>
  <c r="M71" i="32"/>
  <c r="L71" i="32"/>
  <c r="K71" i="32"/>
  <c r="J71" i="32"/>
  <c r="I71" i="32"/>
  <c r="H71" i="32"/>
  <c r="G71" i="32"/>
  <c r="F71" i="32"/>
  <c r="E71" i="32"/>
  <c r="D71" i="32"/>
  <c r="C71" i="32"/>
  <c r="B71" i="32"/>
  <c r="M70" i="32"/>
  <c r="L70" i="32"/>
  <c r="K70" i="32"/>
  <c r="J70" i="32"/>
  <c r="I70" i="32"/>
  <c r="H70" i="32"/>
  <c r="G70" i="32"/>
  <c r="F70" i="32"/>
  <c r="E70" i="32"/>
  <c r="D70" i="32"/>
  <c r="C70" i="32"/>
  <c r="B70" i="32"/>
  <c r="M69" i="32"/>
  <c r="L69" i="32"/>
  <c r="K69" i="32"/>
  <c r="J69" i="32"/>
  <c r="I69" i="32"/>
  <c r="H69" i="32"/>
  <c r="G69" i="32"/>
  <c r="F69" i="32"/>
  <c r="E69" i="32"/>
  <c r="D69" i="32"/>
  <c r="C69" i="32"/>
  <c r="B69" i="32"/>
  <c r="M68" i="32"/>
  <c r="L68" i="32"/>
  <c r="K68" i="32"/>
  <c r="J68" i="32"/>
  <c r="I68" i="32"/>
  <c r="H68" i="32"/>
  <c r="G68" i="32"/>
  <c r="F68" i="32"/>
  <c r="E68" i="32"/>
  <c r="D68" i="32"/>
  <c r="C68" i="32"/>
  <c r="B68" i="32"/>
  <c r="M67" i="32"/>
  <c r="L67" i="32"/>
  <c r="K67" i="32"/>
  <c r="J67" i="32"/>
  <c r="I67" i="32"/>
  <c r="H67" i="32"/>
  <c r="G67" i="32"/>
  <c r="F67" i="32"/>
  <c r="E67" i="32"/>
  <c r="D67" i="32"/>
  <c r="C67" i="32"/>
  <c r="B67" i="32"/>
  <c r="M66" i="32"/>
  <c r="L66" i="32"/>
  <c r="K66" i="32"/>
  <c r="J66" i="32"/>
  <c r="I66" i="32"/>
  <c r="H66" i="32"/>
  <c r="G66" i="32"/>
  <c r="F66" i="32"/>
  <c r="E66" i="32"/>
  <c r="D66" i="32"/>
  <c r="C66" i="32"/>
  <c r="B66" i="32"/>
  <c r="M65" i="32"/>
  <c r="L65" i="32"/>
  <c r="K65" i="32"/>
  <c r="J65" i="32"/>
  <c r="I65" i="32"/>
  <c r="H65" i="32"/>
  <c r="G65" i="32"/>
  <c r="F65" i="32"/>
  <c r="E65" i="32"/>
  <c r="D65" i="32"/>
  <c r="C65" i="32"/>
  <c r="B65" i="32"/>
  <c r="M60" i="32"/>
  <c r="L60" i="32"/>
  <c r="K60" i="32"/>
  <c r="J60" i="32"/>
  <c r="I60" i="32"/>
  <c r="H60" i="32"/>
  <c r="G60" i="32"/>
  <c r="F60" i="32"/>
  <c r="E60" i="32"/>
  <c r="D60" i="32"/>
  <c r="C60" i="32"/>
  <c r="B60" i="32"/>
  <c r="M59" i="32"/>
  <c r="L59" i="32"/>
  <c r="K59" i="32"/>
  <c r="J59" i="32"/>
  <c r="I59" i="32"/>
  <c r="H59" i="32"/>
  <c r="G59" i="32"/>
  <c r="F59" i="32"/>
  <c r="E59" i="32"/>
  <c r="D59" i="32"/>
  <c r="C59" i="32"/>
  <c r="B59" i="32"/>
  <c r="M58" i="32"/>
  <c r="L58" i="32"/>
  <c r="K58" i="32"/>
  <c r="J58" i="32"/>
  <c r="I58" i="32"/>
  <c r="H58" i="32"/>
  <c r="G58" i="32"/>
  <c r="F58" i="32"/>
  <c r="E58" i="32"/>
  <c r="D58" i="32"/>
  <c r="C58" i="32"/>
  <c r="B58" i="32"/>
  <c r="M57" i="32"/>
  <c r="L57" i="32"/>
  <c r="K57" i="32"/>
  <c r="J57" i="32"/>
  <c r="I57" i="32"/>
  <c r="H57" i="32"/>
  <c r="G57" i="32"/>
  <c r="F57" i="32"/>
  <c r="E57" i="32"/>
  <c r="D57" i="32"/>
  <c r="C57" i="32"/>
  <c r="B57" i="32"/>
  <c r="M56" i="32"/>
  <c r="L56" i="32"/>
  <c r="K56" i="32"/>
  <c r="J56" i="32"/>
  <c r="I56" i="32"/>
  <c r="H56" i="32"/>
  <c r="G56" i="32"/>
  <c r="F56" i="32"/>
  <c r="E56" i="32"/>
  <c r="D56" i="32"/>
  <c r="C56" i="32"/>
  <c r="B56" i="32"/>
  <c r="M55" i="32"/>
  <c r="L55" i="32"/>
  <c r="K55" i="32"/>
  <c r="J55" i="32"/>
  <c r="I55" i="32"/>
  <c r="H55" i="32"/>
  <c r="G55" i="32"/>
  <c r="F55" i="32"/>
  <c r="E55" i="32"/>
  <c r="D55" i="32"/>
  <c r="C55" i="32"/>
  <c r="B55" i="32"/>
  <c r="M53" i="32"/>
  <c r="L53" i="32"/>
  <c r="K53" i="32"/>
  <c r="J53" i="32"/>
  <c r="I53" i="32"/>
  <c r="H53" i="32"/>
  <c r="G53" i="32"/>
  <c r="F53" i="32"/>
  <c r="E53" i="32"/>
  <c r="D53" i="32"/>
  <c r="C53" i="32"/>
  <c r="B53" i="32"/>
  <c r="N52" i="32"/>
  <c r="N51" i="32"/>
  <c r="N50" i="32"/>
  <c r="N49" i="32"/>
  <c r="N48" i="32"/>
  <c r="N47" i="32"/>
  <c r="N46" i="32"/>
  <c r="N45" i="32"/>
  <c r="N44" i="32"/>
  <c r="N43" i="32"/>
  <c r="N42" i="32"/>
  <c r="N41" i="32"/>
  <c r="N40" i="32"/>
  <c r="N39" i="32"/>
  <c r="N38" i="32"/>
  <c r="N37" i="32"/>
  <c r="N36" i="32"/>
  <c r="N35" i="32"/>
  <c r="N34" i="32"/>
  <c r="N33" i="32"/>
  <c r="N32" i="32"/>
  <c r="N31" i="32"/>
  <c r="N30" i="32"/>
  <c r="N29" i="32"/>
  <c r="N28" i="32"/>
  <c r="N27" i="32"/>
  <c r="N26" i="32"/>
  <c r="N25" i="32"/>
  <c r="N24" i="32"/>
  <c r="N23" i="32"/>
  <c r="N22" i="32"/>
  <c r="N21" i="32"/>
  <c r="N20" i="32"/>
  <c r="N19" i="32"/>
  <c r="N18" i="32"/>
  <c r="N17" i="32"/>
  <c r="N16" i="32"/>
  <c r="N15" i="32"/>
  <c r="N14" i="32"/>
  <c r="N13" i="32"/>
  <c r="N12" i="32"/>
  <c r="N11" i="32"/>
  <c r="N10" i="32"/>
  <c r="N9" i="32"/>
  <c r="N8" i="32"/>
  <c r="N7" i="32"/>
  <c r="N6" i="32"/>
  <c r="N5" i="32"/>
  <c r="N4" i="32"/>
  <c r="N66" i="32" l="1"/>
  <c r="N67" i="32"/>
  <c r="N69" i="32"/>
  <c r="N70" i="32"/>
  <c r="N55" i="32"/>
  <c r="N68" i="32"/>
  <c r="N56" i="32"/>
  <c r="N71" i="32"/>
  <c r="N59" i="32"/>
  <c r="N60" i="32"/>
  <c r="N65" i="32"/>
  <c r="N53" i="32"/>
  <c r="N58" i="32"/>
  <c r="N57" i="32"/>
  <c r="M71" i="31"/>
  <c r="L71" i="31"/>
  <c r="K71" i="31"/>
  <c r="J71" i="31"/>
  <c r="I71" i="31"/>
  <c r="H71" i="31"/>
  <c r="G71" i="31"/>
  <c r="F71" i="31"/>
  <c r="E71" i="31"/>
  <c r="D71" i="31"/>
  <c r="C71" i="31"/>
  <c r="B71" i="31"/>
  <c r="M70" i="31"/>
  <c r="L70" i="31"/>
  <c r="K70" i="31"/>
  <c r="J70" i="31"/>
  <c r="I70" i="31"/>
  <c r="H70" i="31"/>
  <c r="G70" i="31"/>
  <c r="F70" i="31"/>
  <c r="E70" i="31"/>
  <c r="D70" i="31"/>
  <c r="C70" i="31"/>
  <c r="B70" i="31"/>
  <c r="M69" i="31"/>
  <c r="L69" i="31"/>
  <c r="K69" i="31"/>
  <c r="J69" i="31"/>
  <c r="I69" i="31"/>
  <c r="H69" i="31"/>
  <c r="G69" i="31"/>
  <c r="F69" i="31"/>
  <c r="E69" i="31"/>
  <c r="D69" i="31"/>
  <c r="C69" i="31"/>
  <c r="B69" i="31"/>
  <c r="M68" i="31"/>
  <c r="L68" i="31"/>
  <c r="K68" i="31"/>
  <c r="J68" i="31"/>
  <c r="I68" i="31"/>
  <c r="H68" i="31"/>
  <c r="G68" i="31"/>
  <c r="F68" i="31"/>
  <c r="E68" i="31"/>
  <c r="D68" i="31"/>
  <c r="C68" i="31"/>
  <c r="B68" i="31"/>
  <c r="M67" i="31"/>
  <c r="L67" i="31"/>
  <c r="K67" i="31"/>
  <c r="J67" i="31"/>
  <c r="I67" i="31"/>
  <c r="H67" i="31"/>
  <c r="G67" i="31"/>
  <c r="F67" i="31"/>
  <c r="E67" i="31"/>
  <c r="D67" i="31"/>
  <c r="C67" i="31"/>
  <c r="B67" i="31"/>
  <c r="M66" i="31"/>
  <c r="L66" i="31"/>
  <c r="K66" i="31"/>
  <c r="J66" i="31"/>
  <c r="I66" i="31"/>
  <c r="H66" i="31"/>
  <c r="G66" i="31"/>
  <c r="F66" i="31"/>
  <c r="E66" i="31"/>
  <c r="D66" i="31"/>
  <c r="C66" i="31"/>
  <c r="B66" i="31"/>
  <c r="M65" i="31"/>
  <c r="L65" i="31"/>
  <c r="K65" i="31"/>
  <c r="J65" i="31"/>
  <c r="I65" i="31"/>
  <c r="H65" i="31"/>
  <c r="G65" i="31"/>
  <c r="F65" i="31"/>
  <c r="E65" i="31"/>
  <c r="D65" i="31"/>
  <c r="C65" i="31"/>
  <c r="B65" i="31"/>
  <c r="L60" i="31"/>
  <c r="K60" i="31"/>
  <c r="J60" i="31"/>
  <c r="I60" i="31"/>
  <c r="H60" i="31"/>
  <c r="G60" i="31"/>
  <c r="F60" i="31"/>
  <c r="E60" i="31"/>
  <c r="D60" i="31"/>
  <c r="C60" i="31"/>
  <c r="B60" i="31"/>
  <c r="L59" i="31"/>
  <c r="K59" i="31"/>
  <c r="J59" i="31"/>
  <c r="I59" i="31"/>
  <c r="H59" i="31"/>
  <c r="G59" i="31"/>
  <c r="F59" i="31"/>
  <c r="E59" i="31"/>
  <c r="D59" i="31"/>
  <c r="C59" i="31"/>
  <c r="B59" i="31"/>
  <c r="L58" i="31"/>
  <c r="K58" i="31"/>
  <c r="J58" i="31"/>
  <c r="I58" i="31"/>
  <c r="H58" i="31"/>
  <c r="G58" i="31"/>
  <c r="F58" i="31"/>
  <c r="E58" i="31"/>
  <c r="D58" i="31"/>
  <c r="C58" i="31"/>
  <c r="B58" i="31"/>
  <c r="M57" i="31"/>
  <c r="L57" i="31"/>
  <c r="K57" i="31"/>
  <c r="J57" i="31"/>
  <c r="I57" i="31"/>
  <c r="H57" i="31"/>
  <c r="G57" i="31"/>
  <c r="F57" i="31"/>
  <c r="E57" i="31"/>
  <c r="D57" i="31"/>
  <c r="C57" i="31"/>
  <c r="B57" i="31"/>
  <c r="M56" i="31"/>
  <c r="L56" i="31"/>
  <c r="K56" i="31"/>
  <c r="J56" i="31"/>
  <c r="I56" i="31"/>
  <c r="H56" i="31"/>
  <c r="G56" i="31"/>
  <c r="F56" i="31"/>
  <c r="E56" i="31"/>
  <c r="D56" i="31"/>
  <c r="C56" i="31"/>
  <c r="B56" i="31"/>
  <c r="M55" i="31"/>
  <c r="L55" i="31"/>
  <c r="K55" i="31"/>
  <c r="J55" i="31"/>
  <c r="I55" i="31"/>
  <c r="H55" i="31"/>
  <c r="G55" i="31"/>
  <c r="F55" i="31"/>
  <c r="E55" i="31"/>
  <c r="D55" i="31"/>
  <c r="C55" i="31"/>
  <c r="B55" i="31"/>
  <c r="L53" i="31"/>
  <c r="K53" i="31"/>
  <c r="J53" i="31"/>
  <c r="I53" i="31"/>
  <c r="H53" i="31"/>
  <c r="G53" i="31"/>
  <c r="F53" i="31"/>
  <c r="E53" i="31"/>
  <c r="D53" i="31"/>
  <c r="C53" i="31"/>
  <c r="B53" i="31"/>
  <c r="N52" i="31"/>
  <c r="N51" i="31"/>
  <c r="N50" i="31"/>
  <c r="N49" i="31"/>
  <c r="N48" i="31"/>
  <c r="N47" i="31"/>
  <c r="N46" i="31"/>
  <c r="N45" i="31"/>
  <c r="N44" i="31"/>
  <c r="N43" i="31"/>
  <c r="N42" i="31"/>
  <c r="N41" i="31"/>
  <c r="N40" i="31"/>
  <c r="N39" i="31"/>
  <c r="N38" i="31"/>
  <c r="N37" i="31"/>
  <c r="N36" i="31"/>
  <c r="N35" i="31"/>
  <c r="N34" i="31"/>
  <c r="N33" i="31"/>
  <c r="N32" i="31"/>
  <c r="N31" i="31"/>
  <c r="N30" i="31"/>
  <c r="N29" i="31"/>
  <c r="N28" i="31"/>
  <c r="N27" i="31"/>
  <c r="M60" i="31"/>
  <c r="N25" i="31"/>
  <c r="N24" i="31"/>
  <c r="N23" i="31"/>
  <c r="N22" i="31"/>
  <c r="N21" i="31"/>
  <c r="N20" i="31"/>
  <c r="N19" i="31"/>
  <c r="M58" i="31"/>
  <c r="N17" i="31"/>
  <c r="N16" i="31"/>
  <c r="N15" i="31"/>
  <c r="N14" i="31"/>
  <c r="N13" i="31"/>
  <c r="N12" i="31"/>
  <c r="N11" i="31"/>
  <c r="N10" i="31"/>
  <c r="N9" i="31"/>
  <c r="N8" i="31"/>
  <c r="N7" i="31"/>
  <c r="N6" i="31"/>
  <c r="N5" i="31"/>
  <c r="N4" i="31"/>
  <c r="N69" i="31" l="1"/>
  <c r="N55" i="31"/>
  <c r="N56" i="31"/>
  <c r="N68" i="31"/>
  <c r="N65" i="31"/>
  <c r="N67" i="31"/>
  <c r="N71" i="31"/>
  <c r="N66" i="31"/>
  <c r="N18" i="31"/>
  <c r="M59" i="31"/>
  <c r="M53" i="31"/>
  <c r="N57" i="31"/>
  <c r="N26" i="31"/>
  <c r="N53" i="31" s="1"/>
  <c r="M26" i="30"/>
  <c r="M18" i="30"/>
  <c r="M16" i="30"/>
  <c r="N58" i="31" l="1"/>
  <c r="N59" i="31"/>
  <c r="N70" i="31"/>
  <c r="N60" i="31"/>
  <c r="M71" i="30"/>
  <c r="L71" i="30"/>
  <c r="K71" i="30"/>
  <c r="J71" i="30"/>
  <c r="I71" i="30"/>
  <c r="H71" i="30"/>
  <c r="G71" i="30"/>
  <c r="F71" i="30"/>
  <c r="E71" i="30"/>
  <c r="D71" i="30"/>
  <c r="C71" i="30"/>
  <c r="B71" i="30"/>
  <c r="M70" i="30"/>
  <c r="L70" i="30"/>
  <c r="K70" i="30"/>
  <c r="J70" i="30"/>
  <c r="I70" i="30"/>
  <c r="H70" i="30"/>
  <c r="G70" i="30"/>
  <c r="F70" i="30"/>
  <c r="E70" i="30"/>
  <c r="D70" i="30"/>
  <c r="C70" i="30"/>
  <c r="B70" i="30"/>
  <c r="M69" i="30"/>
  <c r="L69" i="30"/>
  <c r="K69" i="30"/>
  <c r="J69" i="30"/>
  <c r="I69" i="30"/>
  <c r="H69" i="30"/>
  <c r="G69" i="30"/>
  <c r="F69" i="30"/>
  <c r="E69" i="30"/>
  <c r="D69" i="30"/>
  <c r="C69" i="30"/>
  <c r="B69" i="30"/>
  <c r="M68" i="30"/>
  <c r="L68" i="30"/>
  <c r="K68" i="30"/>
  <c r="J68" i="30"/>
  <c r="I68" i="30"/>
  <c r="H68" i="30"/>
  <c r="G68" i="30"/>
  <c r="F68" i="30"/>
  <c r="E68" i="30"/>
  <c r="D68" i="30"/>
  <c r="C68" i="30"/>
  <c r="B68" i="30"/>
  <c r="M67" i="30"/>
  <c r="L67" i="30"/>
  <c r="K67" i="30"/>
  <c r="J67" i="30"/>
  <c r="I67" i="30"/>
  <c r="H67" i="30"/>
  <c r="G67" i="30"/>
  <c r="F67" i="30"/>
  <c r="E67" i="30"/>
  <c r="D67" i="30"/>
  <c r="C67" i="30"/>
  <c r="B67" i="30"/>
  <c r="M66" i="30"/>
  <c r="L66" i="30"/>
  <c r="K66" i="30"/>
  <c r="J66" i="30"/>
  <c r="I66" i="30"/>
  <c r="H66" i="30"/>
  <c r="G66" i="30"/>
  <c r="F66" i="30"/>
  <c r="E66" i="30"/>
  <c r="D66" i="30"/>
  <c r="C66" i="30"/>
  <c r="B66" i="30"/>
  <c r="M65" i="30"/>
  <c r="L65" i="30"/>
  <c r="K65" i="30"/>
  <c r="J65" i="30"/>
  <c r="I65" i="30"/>
  <c r="H65" i="30"/>
  <c r="G65" i="30"/>
  <c r="F65" i="30"/>
  <c r="E65" i="30"/>
  <c r="D65" i="30"/>
  <c r="C65" i="30"/>
  <c r="B65" i="30"/>
  <c r="M60" i="30"/>
  <c r="L60" i="30"/>
  <c r="K60" i="30"/>
  <c r="J60" i="30"/>
  <c r="I60" i="30"/>
  <c r="H60" i="30"/>
  <c r="G60" i="30"/>
  <c r="F60" i="30"/>
  <c r="E60" i="30"/>
  <c r="D60" i="30"/>
  <c r="C60" i="30"/>
  <c r="B60" i="30"/>
  <c r="M59" i="30"/>
  <c r="L59" i="30"/>
  <c r="K59" i="30"/>
  <c r="J59" i="30"/>
  <c r="I59" i="30"/>
  <c r="H59" i="30"/>
  <c r="G59" i="30"/>
  <c r="F59" i="30"/>
  <c r="E59" i="30"/>
  <c r="D59" i="30"/>
  <c r="C59" i="30"/>
  <c r="B59" i="30"/>
  <c r="M58" i="30"/>
  <c r="L58" i="30"/>
  <c r="K58" i="30"/>
  <c r="J58" i="30"/>
  <c r="I58" i="30"/>
  <c r="H58" i="30"/>
  <c r="G58" i="30"/>
  <c r="F58" i="30"/>
  <c r="E58" i="30"/>
  <c r="D58" i="30"/>
  <c r="C58" i="30"/>
  <c r="B58" i="30"/>
  <c r="M57" i="30"/>
  <c r="L57" i="30"/>
  <c r="K57" i="30"/>
  <c r="J57" i="30"/>
  <c r="I57" i="30"/>
  <c r="H57" i="30"/>
  <c r="G57" i="30"/>
  <c r="F57" i="30"/>
  <c r="E57" i="30"/>
  <c r="D57" i="30"/>
  <c r="C57" i="30"/>
  <c r="B57" i="30"/>
  <c r="M56" i="30"/>
  <c r="L56" i="30"/>
  <c r="K56" i="30"/>
  <c r="J56" i="30"/>
  <c r="I56" i="30"/>
  <c r="H56" i="30"/>
  <c r="G56" i="30"/>
  <c r="F56" i="30"/>
  <c r="E56" i="30"/>
  <c r="D56" i="30"/>
  <c r="C56" i="30"/>
  <c r="B56" i="30"/>
  <c r="M55" i="30"/>
  <c r="L55" i="30"/>
  <c r="K55" i="30"/>
  <c r="J55" i="30"/>
  <c r="I55" i="30"/>
  <c r="H55" i="30"/>
  <c r="G55" i="30"/>
  <c r="F55" i="30"/>
  <c r="E55" i="30"/>
  <c r="D55" i="30"/>
  <c r="C55" i="30"/>
  <c r="B55" i="30"/>
  <c r="M53" i="30"/>
  <c r="L53" i="30"/>
  <c r="K53" i="30"/>
  <c r="J53" i="30"/>
  <c r="I53" i="30"/>
  <c r="H53" i="30"/>
  <c r="G53" i="30"/>
  <c r="F53" i="30"/>
  <c r="E53" i="30"/>
  <c r="D53" i="30"/>
  <c r="C53" i="30"/>
  <c r="B53" i="30"/>
  <c r="N52" i="30"/>
  <c r="N51" i="30"/>
  <c r="N50" i="30"/>
  <c r="N49" i="30"/>
  <c r="N48" i="30"/>
  <c r="N47" i="30"/>
  <c r="N46" i="30"/>
  <c r="N45" i="30"/>
  <c r="N44" i="30"/>
  <c r="N43" i="30"/>
  <c r="N42" i="30"/>
  <c r="N41" i="30"/>
  <c r="N40" i="30"/>
  <c r="N39" i="30"/>
  <c r="N38" i="30"/>
  <c r="N37" i="30"/>
  <c r="N36" i="30"/>
  <c r="N35" i="30"/>
  <c r="N34" i="30"/>
  <c r="N33" i="30"/>
  <c r="N32" i="30"/>
  <c r="N31" i="30"/>
  <c r="N30" i="30"/>
  <c r="N29" i="30"/>
  <c r="N28" i="30"/>
  <c r="N27" i="30"/>
  <c r="N26" i="30"/>
  <c r="N25" i="30"/>
  <c r="N24" i="30"/>
  <c r="N23" i="30"/>
  <c r="N22" i="30"/>
  <c r="N21" i="30"/>
  <c r="N20" i="30"/>
  <c r="N19" i="30"/>
  <c r="N18" i="30"/>
  <c r="N17" i="30"/>
  <c r="N16" i="30"/>
  <c r="N15" i="30"/>
  <c r="N14" i="30"/>
  <c r="N13" i="30"/>
  <c r="N12" i="30"/>
  <c r="N11" i="30"/>
  <c r="N10" i="30"/>
  <c r="N9" i="30"/>
  <c r="N8" i="30"/>
  <c r="N7" i="30"/>
  <c r="N6" i="30"/>
  <c r="N5" i="30"/>
  <c r="N4" i="30"/>
  <c r="N56" i="30" l="1"/>
  <c r="N70" i="30"/>
  <c r="N68" i="30"/>
  <c r="N71" i="30"/>
  <c r="N59" i="30"/>
  <c r="N66" i="30"/>
  <c r="N67" i="30"/>
  <c r="N55" i="30"/>
  <c r="N65" i="30"/>
  <c r="N69" i="30"/>
  <c r="N60" i="30"/>
  <c r="N53" i="30"/>
  <c r="N58" i="30"/>
  <c r="N57" i="30"/>
  <c r="M71" i="29"/>
  <c r="L71" i="29"/>
  <c r="K71" i="29"/>
  <c r="J71" i="29"/>
  <c r="I71" i="29"/>
  <c r="H71" i="29"/>
  <c r="G71" i="29"/>
  <c r="F71" i="29"/>
  <c r="E71" i="29"/>
  <c r="D71" i="29"/>
  <c r="C71" i="29"/>
  <c r="B71" i="29"/>
  <c r="M70" i="29"/>
  <c r="L70" i="29"/>
  <c r="K70" i="29"/>
  <c r="J70" i="29"/>
  <c r="I70" i="29"/>
  <c r="H70" i="29"/>
  <c r="G70" i="29"/>
  <c r="F70" i="29"/>
  <c r="E70" i="29"/>
  <c r="D70" i="29"/>
  <c r="C70" i="29"/>
  <c r="B70" i="29"/>
  <c r="M69" i="29"/>
  <c r="L69" i="29"/>
  <c r="K69" i="29"/>
  <c r="J69" i="29"/>
  <c r="I69" i="29"/>
  <c r="H69" i="29"/>
  <c r="G69" i="29"/>
  <c r="F69" i="29"/>
  <c r="E69" i="29"/>
  <c r="D69" i="29"/>
  <c r="C69" i="29"/>
  <c r="B69" i="29"/>
  <c r="M68" i="29"/>
  <c r="L68" i="29"/>
  <c r="K68" i="29"/>
  <c r="J68" i="29"/>
  <c r="I68" i="29"/>
  <c r="H68" i="29"/>
  <c r="G68" i="29"/>
  <c r="F68" i="29"/>
  <c r="E68" i="29"/>
  <c r="D68" i="29"/>
  <c r="C68" i="29"/>
  <c r="B68" i="29"/>
  <c r="M67" i="29"/>
  <c r="L67" i="29"/>
  <c r="K67" i="29"/>
  <c r="J67" i="29"/>
  <c r="I67" i="29"/>
  <c r="H67" i="29"/>
  <c r="G67" i="29"/>
  <c r="F67" i="29"/>
  <c r="E67" i="29"/>
  <c r="D67" i="29"/>
  <c r="C67" i="29"/>
  <c r="B67" i="29"/>
  <c r="M66" i="29"/>
  <c r="L66" i="29"/>
  <c r="K66" i="29"/>
  <c r="J66" i="29"/>
  <c r="I66" i="29"/>
  <c r="H66" i="29"/>
  <c r="G66" i="29"/>
  <c r="F66" i="29"/>
  <c r="E66" i="29"/>
  <c r="D66" i="29"/>
  <c r="C66" i="29"/>
  <c r="B66" i="29"/>
  <c r="M65" i="29"/>
  <c r="L65" i="29"/>
  <c r="K65" i="29"/>
  <c r="J65" i="29"/>
  <c r="I65" i="29"/>
  <c r="H65" i="29"/>
  <c r="G65" i="29"/>
  <c r="E65" i="29"/>
  <c r="D65" i="29"/>
  <c r="C65" i="29"/>
  <c r="B65" i="29"/>
  <c r="M60" i="29"/>
  <c r="L60" i="29"/>
  <c r="K60" i="29"/>
  <c r="J60" i="29"/>
  <c r="I60" i="29"/>
  <c r="H60" i="29"/>
  <c r="G60" i="29"/>
  <c r="F60" i="29"/>
  <c r="E60" i="29"/>
  <c r="D60" i="29"/>
  <c r="C60" i="29"/>
  <c r="B60" i="29"/>
  <c r="M59" i="29"/>
  <c r="L59" i="29"/>
  <c r="K59" i="29"/>
  <c r="J59" i="29"/>
  <c r="I59" i="29"/>
  <c r="H59" i="29"/>
  <c r="G59" i="29"/>
  <c r="E59" i="29"/>
  <c r="D59" i="29"/>
  <c r="C59" i="29"/>
  <c r="B59" i="29"/>
  <c r="M58" i="29"/>
  <c r="L58" i="29"/>
  <c r="K58" i="29"/>
  <c r="J58" i="29"/>
  <c r="I58" i="29"/>
  <c r="H58" i="29"/>
  <c r="G58" i="29"/>
  <c r="E58" i="29"/>
  <c r="D58" i="29"/>
  <c r="C58" i="29"/>
  <c r="B58" i="29"/>
  <c r="M57" i="29"/>
  <c r="L57" i="29"/>
  <c r="K57" i="29"/>
  <c r="J57" i="29"/>
  <c r="I57" i="29"/>
  <c r="H57" i="29"/>
  <c r="G57" i="29"/>
  <c r="E57" i="29"/>
  <c r="D57" i="29"/>
  <c r="C57" i="29"/>
  <c r="B57" i="29"/>
  <c r="M56" i="29"/>
  <c r="L56" i="29"/>
  <c r="K56" i="29"/>
  <c r="J56" i="29"/>
  <c r="I56" i="29"/>
  <c r="H56" i="29"/>
  <c r="G56" i="29"/>
  <c r="F56" i="29"/>
  <c r="E56" i="29"/>
  <c r="D56" i="29"/>
  <c r="C56" i="29"/>
  <c r="B56" i="29"/>
  <c r="M55" i="29"/>
  <c r="L55" i="29"/>
  <c r="K55" i="29"/>
  <c r="J55" i="29"/>
  <c r="I55" i="29"/>
  <c r="H55" i="29"/>
  <c r="G55" i="29"/>
  <c r="E55" i="29"/>
  <c r="D55" i="29"/>
  <c r="C55" i="29"/>
  <c r="B55" i="29"/>
  <c r="M53" i="29"/>
  <c r="L53" i="29"/>
  <c r="K53" i="29"/>
  <c r="J53" i="29"/>
  <c r="I53" i="29"/>
  <c r="H53" i="29"/>
  <c r="G53" i="29"/>
  <c r="E53" i="29"/>
  <c r="D53" i="29"/>
  <c r="C53" i="29"/>
  <c r="B53" i="29"/>
  <c r="N52" i="29"/>
  <c r="N51" i="29"/>
  <c r="N50" i="29"/>
  <c r="N49" i="29"/>
  <c r="N48" i="29"/>
  <c r="N47" i="29"/>
  <c r="N46" i="29"/>
  <c r="N45" i="29"/>
  <c r="N44" i="29"/>
  <c r="N43" i="29"/>
  <c r="N42" i="29"/>
  <c r="N41" i="29"/>
  <c r="N40" i="29"/>
  <c r="N39" i="29"/>
  <c r="N38" i="29"/>
  <c r="N37" i="29"/>
  <c r="N36" i="29"/>
  <c r="N35" i="29"/>
  <c r="N34" i="29"/>
  <c r="N33" i="29"/>
  <c r="N32" i="29"/>
  <c r="N31" i="29"/>
  <c r="N30" i="29"/>
  <c r="N29" i="29"/>
  <c r="N28" i="29"/>
  <c r="N27" i="29"/>
  <c r="N26" i="29"/>
  <c r="N25" i="29"/>
  <c r="N24" i="29"/>
  <c r="N23" i="29"/>
  <c r="N22" i="29"/>
  <c r="N21" i="29"/>
  <c r="N20" i="29"/>
  <c r="N19" i="29"/>
  <c r="N18" i="29"/>
  <c r="N17" i="29"/>
  <c r="N16" i="29"/>
  <c r="N15" i="29"/>
  <c r="N14" i="29"/>
  <c r="N13" i="29"/>
  <c r="N12" i="29"/>
  <c r="N11" i="29"/>
  <c r="N10" i="29"/>
  <c r="N9" i="29"/>
  <c r="N8" i="29"/>
  <c r="N7" i="29"/>
  <c r="N6" i="29"/>
  <c r="N5" i="29"/>
  <c r="F65" i="29"/>
  <c r="N69" i="29" l="1"/>
  <c r="N67" i="29"/>
  <c r="N66" i="29"/>
  <c r="N70" i="29"/>
  <c r="N68" i="29"/>
  <c r="N71" i="29"/>
  <c r="F53" i="29"/>
  <c r="N56" i="29"/>
  <c r="F58" i="29"/>
  <c r="N60" i="29"/>
  <c r="N4" i="29"/>
  <c r="F55" i="29"/>
  <c r="F57" i="29"/>
  <c r="F59" i="29"/>
  <c r="J57" i="28"/>
  <c r="K57" i="28"/>
  <c r="L57" i="28"/>
  <c r="M57" i="28"/>
  <c r="J68" i="28"/>
  <c r="K68" i="28"/>
  <c r="L68" i="28"/>
  <c r="M68" i="28"/>
  <c r="I68" i="28"/>
  <c r="I57" i="28"/>
  <c r="N17" i="28"/>
  <c r="N65" i="29" l="1"/>
  <c r="N57" i="29"/>
  <c r="N55" i="29"/>
  <c r="N53" i="29"/>
  <c r="N58" i="29"/>
  <c r="N59" i="29"/>
  <c r="F4" i="28"/>
  <c r="M71" i="28" l="1"/>
  <c r="L71" i="28"/>
  <c r="K71" i="28"/>
  <c r="J71" i="28"/>
  <c r="I71" i="28"/>
  <c r="H71" i="28"/>
  <c r="G71" i="28"/>
  <c r="F71" i="28"/>
  <c r="E71" i="28"/>
  <c r="D71" i="28"/>
  <c r="C71" i="28"/>
  <c r="B71" i="28"/>
  <c r="M70" i="28"/>
  <c r="L70" i="28"/>
  <c r="K70" i="28"/>
  <c r="J70" i="28"/>
  <c r="I70" i="28"/>
  <c r="H70" i="28"/>
  <c r="G70" i="28"/>
  <c r="F70" i="28"/>
  <c r="E70" i="28"/>
  <c r="D70" i="28"/>
  <c r="C70" i="28"/>
  <c r="B70" i="28"/>
  <c r="M69" i="28"/>
  <c r="L69" i="28"/>
  <c r="K69" i="28"/>
  <c r="J69" i="28"/>
  <c r="I69" i="28"/>
  <c r="H69" i="28"/>
  <c r="G69" i="28"/>
  <c r="F69" i="28"/>
  <c r="E69" i="28"/>
  <c r="D69" i="28"/>
  <c r="C69" i="28"/>
  <c r="B69" i="28"/>
  <c r="H68" i="28"/>
  <c r="G68" i="28"/>
  <c r="F68" i="28"/>
  <c r="E68" i="28"/>
  <c r="D68" i="28"/>
  <c r="C68" i="28"/>
  <c r="B68" i="28"/>
  <c r="M67" i="28"/>
  <c r="L67" i="28"/>
  <c r="K67" i="28"/>
  <c r="J67" i="28"/>
  <c r="I67" i="28"/>
  <c r="H67" i="28"/>
  <c r="G67" i="28"/>
  <c r="F67" i="28"/>
  <c r="E67" i="28"/>
  <c r="D67" i="28"/>
  <c r="C67" i="28"/>
  <c r="B67" i="28"/>
  <c r="M66" i="28"/>
  <c r="L66" i="28"/>
  <c r="K66" i="28"/>
  <c r="J66" i="28"/>
  <c r="I66" i="28"/>
  <c r="H66" i="28"/>
  <c r="G66" i="28"/>
  <c r="F66" i="28"/>
  <c r="E66" i="28"/>
  <c r="D66" i="28"/>
  <c r="C66" i="28"/>
  <c r="B66" i="28"/>
  <c r="M65" i="28"/>
  <c r="L65" i="28"/>
  <c r="K65" i="28"/>
  <c r="J65" i="28"/>
  <c r="I65" i="28"/>
  <c r="H65" i="28"/>
  <c r="G65" i="28"/>
  <c r="F65" i="28"/>
  <c r="E65" i="28"/>
  <c r="D65" i="28"/>
  <c r="C65" i="28"/>
  <c r="B65" i="28"/>
  <c r="M60" i="28"/>
  <c r="L60" i="28"/>
  <c r="K60" i="28"/>
  <c r="J60" i="28"/>
  <c r="I60" i="28"/>
  <c r="H60" i="28"/>
  <c r="G60" i="28"/>
  <c r="F60" i="28"/>
  <c r="E60" i="28"/>
  <c r="D60" i="28"/>
  <c r="C60" i="28"/>
  <c r="B60" i="28"/>
  <c r="M59" i="28"/>
  <c r="L59" i="28"/>
  <c r="K59" i="28"/>
  <c r="J59" i="28"/>
  <c r="I59" i="28"/>
  <c r="H59" i="28"/>
  <c r="G59" i="28"/>
  <c r="F59" i="28"/>
  <c r="E59" i="28"/>
  <c r="D59" i="28"/>
  <c r="C59" i="28"/>
  <c r="B59" i="28"/>
  <c r="M58" i="28"/>
  <c r="L58" i="28"/>
  <c r="K58" i="28"/>
  <c r="J58" i="28"/>
  <c r="I58" i="28"/>
  <c r="H58" i="28"/>
  <c r="G58" i="28"/>
  <c r="F58" i="28"/>
  <c r="E58" i="28"/>
  <c r="D58" i="28"/>
  <c r="C58" i="28"/>
  <c r="B58" i="28"/>
  <c r="H57" i="28"/>
  <c r="G57" i="28"/>
  <c r="F57" i="28"/>
  <c r="E57" i="28"/>
  <c r="D57" i="28"/>
  <c r="C57" i="28"/>
  <c r="B57" i="28"/>
  <c r="M56" i="28"/>
  <c r="L56" i="28"/>
  <c r="K56" i="28"/>
  <c r="J56" i="28"/>
  <c r="I56" i="28"/>
  <c r="H56" i="28"/>
  <c r="G56" i="28"/>
  <c r="F56" i="28"/>
  <c r="E56" i="28"/>
  <c r="D56" i="28"/>
  <c r="C56" i="28"/>
  <c r="B56" i="28"/>
  <c r="M55" i="28"/>
  <c r="L55" i="28"/>
  <c r="K55" i="28"/>
  <c r="J55" i="28"/>
  <c r="I55" i="28"/>
  <c r="H55" i="28"/>
  <c r="G55" i="28"/>
  <c r="F55" i="28"/>
  <c r="E55" i="28"/>
  <c r="D55" i="28"/>
  <c r="C55" i="28"/>
  <c r="B55" i="28"/>
  <c r="M53" i="28"/>
  <c r="L53" i="28"/>
  <c r="K53" i="28"/>
  <c r="J53" i="28"/>
  <c r="I53" i="28"/>
  <c r="H53" i="28"/>
  <c r="G53" i="28"/>
  <c r="F53" i="28"/>
  <c r="E53" i="28"/>
  <c r="D53" i="28"/>
  <c r="C53" i="28"/>
  <c r="B53" i="28"/>
  <c r="N52" i="28"/>
  <c r="N51" i="28"/>
  <c r="N50" i="28"/>
  <c r="N49" i="28"/>
  <c r="N48" i="28"/>
  <c r="N47" i="28"/>
  <c r="N46" i="28"/>
  <c r="N45" i="28"/>
  <c r="N44" i="28"/>
  <c r="N43" i="28"/>
  <c r="N42" i="28"/>
  <c r="N41" i="28"/>
  <c r="N40" i="28"/>
  <c r="N39" i="28"/>
  <c r="N38" i="28"/>
  <c r="N37" i="28"/>
  <c r="N36" i="28"/>
  <c r="N35" i="28"/>
  <c r="N34" i="28"/>
  <c r="N33" i="28"/>
  <c r="N32" i="28"/>
  <c r="N31" i="28"/>
  <c r="N30" i="28"/>
  <c r="N29" i="28"/>
  <c r="N28" i="28"/>
  <c r="N27" i="28"/>
  <c r="N26" i="28"/>
  <c r="N25" i="28"/>
  <c r="N24" i="28"/>
  <c r="N23" i="28"/>
  <c r="N22" i="28"/>
  <c r="N21" i="28"/>
  <c r="N20" i="28"/>
  <c r="N19" i="28"/>
  <c r="N18" i="28"/>
  <c r="N16" i="28"/>
  <c r="N15" i="28"/>
  <c r="N14" i="28"/>
  <c r="N13" i="28"/>
  <c r="N12" i="28"/>
  <c r="N11" i="28"/>
  <c r="N10" i="28"/>
  <c r="N9" i="28"/>
  <c r="N8" i="28"/>
  <c r="N7" i="28"/>
  <c r="N6" i="28"/>
  <c r="N5" i="28"/>
  <c r="N4" i="28"/>
  <c r="N68" i="28" l="1"/>
  <c r="N57" i="28"/>
  <c r="N69" i="28"/>
  <c r="N66" i="28"/>
  <c r="N70" i="28"/>
  <c r="N65" i="28"/>
  <c r="N71" i="28"/>
  <c r="N67" i="28"/>
  <c r="N59" i="28"/>
  <c r="N53" i="28"/>
  <c r="N56" i="28"/>
  <c r="N58" i="28"/>
  <c r="N60" i="28"/>
  <c r="N55" i="28"/>
  <c r="C64" i="27"/>
  <c r="D64" i="27"/>
  <c r="E64" i="27"/>
  <c r="F64" i="27"/>
  <c r="G64" i="27"/>
  <c r="H64" i="27"/>
  <c r="I64" i="27"/>
  <c r="J64" i="27"/>
  <c r="K64" i="27"/>
  <c r="L64" i="27"/>
  <c r="M64" i="27"/>
  <c r="B64" i="27"/>
  <c r="C65" i="27"/>
  <c r="D65" i="27"/>
  <c r="E65" i="27"/>
  <c r="F65" i="27"/>
  <c r="G65" i="27"/>
  <c r="H65" i="27"/>
  <c r="I65" i="27"/>
  <c r="J65" i="27"/>
  <c r="K65" i="27"/>
  <c r="L65" i="27"/>
  <c r="M65" i="27"/>
  <c r="B65" i="27"/>
  <c r="C66" i="27"/>
  <c r="D66" i="27"/>
  <c r="E66" i="27"/>
  <c r="F66" i="27"/>
  <c r="G66" i="27"/>
  <c r="H66" i="27"/>
  <c r="I66" i="27"/>
  <c r="J66" i="27"/>
  <c r="K66" i="27"/>
  <c r="L66" i="27"/>
  <c r="M66" i="27"/>
  <c r="B66" i="27"/>
  <c r="C67" i="27"/>
  <c r="D67" i="27"/>
  <c r="E67" i="27"/>
  <c r="F67" i="27"/>
  <c r="G67" i="27"/>
  <c r="H67" i="27"/>
  <c r="I67" i="27"/>
  <c r="J67" i="27"/>
  <c r="K67" i="27"/>
  <c r="L67" i="27"/>
  <c r="M67" i="27"/>
  <c r="B67" i="27"/>
  <c r="C68" i="27"/>
  <c r="D68" i="27"/>
  <c r="E68" i="27"/>
  <c r="F68" i="27"/>
  <c r="G68" i="27"/>
  <c r="H68" i="27"/>
  <c r="I68" i="27"/>
  <c r="J68" i="27"/>
  <c r="K68" i="27"/>
  <c r="L68" i="27"/>
  <c r="M68" i="27"/>
  <c r="B68" i="27"/>
  <c r="C69" i="27"/>
  <c r="D69" i="27"/>
  <c r="E69" i="27"/>
  <c r="F69" i="27"/>
  <c r="G69" i="27"/>
  <c r="H69" i="27"/>
  <c r="I69" i="27"/>
  <c r="J69" i="27"/>
  <c r="K69" i="27"/>
  <c r="L69" i="27"/>
  <c r="M69" i="27"/>
  <c r="B69" i="27"/>
  <c r="C70" i="27"/>
  <c r="D70" i="27"/>
  <c r="E70" i="27"/>
  <c r="F70" i="27"/>
  <c r="G70" i="27"/>
  <c r="H70" i="27"/>
  <c r="I70" i="27"/>
  <c r="J70" i="27"/>
  <c r="K70" i="27"/>
  <c r="L70" i="27"/>
  <c r="M70" i="27"/>
  <c r="B70" i="27"/>
  <c r="B75" i="26"/>
  <c r="M71" i="22"/>
  <c r="M71" i="21"/>
  <c r="N5" i="26"/>
  <c r="N6" i="26"/>
  <c r="N7" i="26"/>
  <c r="N8" i="26"/>
  <c r="N10" i="26"/>
  <c r="N11" i="26"/>
  <c r="N12" i="26"/>
  <c r="N13" i="26"/>
  <c r="N14" i="26"/>
  <c r="N15" i="26"/>
  <c r="N16" i="26"/>
  <c r="N17" i="26"/>
  <c r="N18" i="26"/>
  <c r="N19" i="26"/>
  <c r="N20" i="26"/>
  <c r="N21" i="26"/>
  <c r="N22" i="26"/>
  <c r="N23" i="26"/>
  <c r="N24" i="26"/>
  <c r="N25" i="26"/>
  <c r="N26" i="26"/>
  <c r="N27" i="26"/>
  <c r="N28" i="26"/>
  <c r="N29" i="26"/>
  <c r="N30" i="26"/>
  <c r="N31" i="26"/>
  <c r="N32" i="26"/>
  <c r="N33" i="26"/>
  <c r="N35" i="26"/>
  <c r="N36" i="26"/>
  <c r="N37" i="26"/>
  <c r="N38" i="26"/>
  <c r="N39" i="26"/>
  <c r="N40" i="26"/>
  <c r="N41" i="26"/>
  <c r="N42" i="26"/>
  <c r="N43" i="26"/>
  <c r="N44" i="26"/>
  <c r="N45" i="26"/>
  <c r="N46" i="26"/>
  <c r="N47" i="26"/>
  <c r="N48" i="26"/>
  <c r="N49" i="26"/>
  <c r="N50" i="26"/>
  <c r="N51" i="26"/>
  <c r="N52" i="26"/>
  <c r="N53" i="26"/>
  <c r="N54" i="26"/>
  <c r="N55" i="26"/>
  <c r="F54" i="27"/>
  <c r="G54" i="27"/>
  <c r="H54" i="27"/>
  <c r="I54" i="27"/>
  <c r="J54" i="27"/>
  <c r="K54" i="27"/>
  <c r="L54" i="27"/>
  <c r="M54" i="27"/>
  <c r="B54" i="27"/>
  <c r="C54" i="27"/>
  <c r="D54" i="27"/>
  <c r="E54" i="27"/>
  <c r="N6" i="27"/>
  <c r="N5" i="27"/>
  <c r="N4" i="27"/>
  <c r="N7" i="27"/>
  <c r="N8" i="27"/>
  <c r="N9" i="27"/>
  <c r="N10" i="27"/>
  <c r="C55" i="27"/>
  <c r="D55" i="27"/>
  <c r="E55" i="27"/>
  <c r="F55" i="27"/>
  <c r="G55" i="27"/>
  <c r="H55" i="27"/>
  <c r="I55" i="27"/>
  <c r="J55" i="27"/>
  <c r="K55" i="27"/>
  <c r="L55" i="27"/>
  <c r="M55" i="27"/>
  <c r="C56" i="27"/>
  <c r="D56" i="27"/>
  <c r="E56" i="27"/>
  <c r="F56" i="27"/>
  <c r="G56" i="27"/>
  <c r="H56" i="27"/>
  <c r="I56" i="27"/>
  <c r="J56" i="27"/>
  <c r="K56" i="27"/>
  <c r="L56" i="27"/>
  <c r="M56" i="27"/>
  <c r="C57" i="27"/>
  <c r="D57" i="27"/>
  <c r="E57" i="27"/>
  <c r="F57" i="27"/>
  <c r="G57" i="27"/>
  <c r="H57" i="27"/>
  <c r="I57" i="27"/>
  <c r="J57" i="27"/>
  <c r="K57" i="27"/>
  <c r="L57" i="27"/>
  <c r="M57" i="27"/>
  <c r="C58" i="27"/>
  <c r="D58" i="27"/>
  <c r="E58" i="27"/>
  <c r="F58" i="27"/>
  <c r="G58" i="27"/>
  <c r="H58" i="27"/>
  <c r="I58" i="27"/>
  <c r="J58" i="27"/>
  <c r="K58" i="27"/>
  <c r="L58" i="27"/>
  <c r="M58" i="27"/>
  <c r="C59" i="27"/>
  <c r="D59" i="27"/>
  <c r="E59" i="27"/>
  <c r="F59" i="27"/>
  <c r="G59" i="27"/>
  <c r="H59" i="27"/>
  <c r="I59" i="27"/>
  <c r="J59" i="27"/>
  <c r="K59" i="27"/>
  <c r="L59" i="27"/>
  <c r="M59" i="27"/>
  <c r="B59" i="27"/>
  <c r="B56" i="27"/>
  <c r="B55" i="27"/>
  <c r="B58" i="27"/>
  <c r="B57" i="27"/>
  <c r="M52" i="27"/>
  <c r="L52" i="27"/>
  <c r="K52" i="27"/>
  <c r="J52" i="27"/>
  <c r="I52" i="27"/>
  <c r="H52" i="27"/>
  <c r="F52" i="27"/>
  <c r="E52" i="27"/>
  <c r="D52" i="27"/>
  <c r="C52" i="27"/>
  <c r="B52" i="27"/>
  <c r="N51" i="27"/>
  <c r="N50" i="27"/>
  <c r="N49" i="27"/>
  <c r="N48" i="27"/>
  <c r="N47" i="27"/>
  <c r="N46" i="27"/>
  <c r="N45" i="27"/>
  <c r="N44" i="27"/>
  <c r="N43" i="27"/>
  <c r="N42" i="27"/>
  <c r="N41" i="27"/>
  <c r="N40" i="27"/>
  <c r="N39" i="27"/>
  <c r="N38" i="27"/>
  <c r="N37" i="27"/>
  <c r="N36" i="27"/>
  <c r="N35" i="27"/>
  <c r="N34" i="27"/>
  <c r="N33" i="27"/>
  <c r="N32" i="27"/>
  <c r="N31" i="27"/>
  <c r="N30" i="27"/>
  <c r="N28" i="27"/>
  <c r="N27" i="27"/>
  <c r="N26" i="27"/>
  <c r="N25" i="27"/>
  <c r="N24" i="27"/>
  <c r="N23" i="27"/>
  <c r="N22" i="27"/>
  <c r="N21" i="27"/>
  <c r="N20" i="27"/>
  <c r="N19" i="27"/>
  <c r="N66" i="27" s="1"/>
  <c r="N18" i="27"/>
  <c r="N17" i="27"/>
  <c r="N16" i="27"/>
  <c r="N15" i="27"/>
  <c r="N14" i="27"/>
  <c r="N13" i="27"/>
  <c r="N12" i="27"/>
  <c r="N11" i="27"/>
  <c r="H69" i="26"/>
  <c r="I69" i="26"/>
  <c r="J69" i="26"/>
  <c r="K69" i="26"/>
  <c r="L69" i="26"/>
  <c r="M69" i="26"/>
  <c r="H70" i="26"/>
  <c r="I70" i="26"/>
  <c r="J70" i="26"/>
  <c r="K70" i="26"/>
  <c r="L70" i="26"/>
  <c r="M70" i="26"/>
  <c r="H71" i="26"/>
  <c r="I71" i="26"/>
  <c r="J71" i="26"/>
  <c r="K71" i="26"/>
  <c r="L71" i="26"/>
  <c r="M71" i="26"/>
  <c r="H72" i="26"/>
  <c r="I72" i="26"/>
  <c r="J72" i="26"/>
  <c r="K72" i="26"/>
  <c r="L72" i="26"/>
  <c r="M72" i="26"/>
  <c r="H73" i="26"/>
  <c r="I73" i="26"/>
  <c r="J73" i="26"/>
  <c r="K73" i="26"/>
  <c r="L73" i="26"/>
  <c r="M73" i="26"/>
  <c r="H74" i="26"/>
  <c r="I74" i="26"/>
  <c r="J74" i="26"/>
  <c r="K74" i="26"/>
  <c r="L74" i="26"/>
  <c r="M74" i="26"/>
  <c r="H75" i="26"/>
  <c r="I75" i="26"/>
  <c r="J75" i="26"/>
  <c r="K75" i="26"/>
  <c r="L75" i="26"/>
  <c r="M75" i="26"/>
  <c r="G70" i="26"/>
  <c r="G34" i="26"/>
  <c r="N34" i="26" s="1"/>
  <c r="G9" i="26"/>
  <c r="G69" i="26" s="1"/>
  <c r="M60" i="22"/>
  <c r="M60" i="21"/>
  <c r="B66" i="20"/>
  <c r="C66" i="20"/>
  <c r="D66" i="20"/>
  <c r="E66" i="20"/>
  <c r="F66" i="20"/>
  <c r="G66" i="20"/>
  <c r="H66" i="20"/>
  <c r="I66" i="20"/>
  <c r="J66" i="20"/>
  <c r="K66" i="20"/>
  <c r="L66" i="20"/>
  <c r="M66" i="20"/>
  <c r="C51" i="19"/>
  <c r="L51" i="19"/>
  <c r="K51" i="19"/>
  <c r="J51" i="19"/>
  <c r="I51" i="19"/>
  <c r="H51" i="19"/>
  <c r="G51" i="19"/>
  <c r="F51" i="19"/>
  <c r="E51" i="19"/>
  <c r="D51" i="19"/>
  <c r="B51" i="19"/>
  <c r="M51" i="19"/>
  <c r="M50" i="17"/>
  <c r="G38" i="14"/>
  <c r="H38" i="14"/>
  <c r="I38" i="14"/>
  <c r="J38" i="14"/>
  <c r="K38" i="14"/>
  <c r="L38" i="14"/>
  <c r="M38" i="14"/>
  <c r="M35" i="1"/>
  <c r="B45" i="15"/>
  <c r="C45" i="15"/>
  <c r="D45" i="15"/>
  <c r="E45" i="15"/>
  <c r="F45" i="15"/>
  <c r="G45" i="15"/>
  <c r="H45" i="15"/>
  <c r="I45" i="15"/>
  <c r="J45" i="15"/>
  <c r="K45" i="15"/>
  <c r="L45" i="15"/>
  <c r="M45" i="15"/>
  <c r="M37" i="13"/>
  <c r="M37" i="12"/>
  <c r="M35" i="11"/>
  <c r="M35" i="7"/>
  <c r="M35" i="4"/>
  <c r="M35" i="3"/>
  <c r="J40" i="15"/>
  <c r="K40" i="15"/>
  <c r="J41" i="15"/>
  <c r="K41" i="15"/>
  <c r="J42" i="15"/>
  <c r="K42" i="15"/>
  <c r="G75" i="26"/>
  <c r="F75" i="26"/>
  <c r="E75" i="26"/>
  <c r="D75" i="26"/>
  <c r="C75" i="26"/>
  <c r="G74" i="26"/>
  <c r="F74" i="26"/>
  <c r="E74" i="26"/>
  <c r="D74" i="26"/>
  <c r="C74" i="26"/>
  <c r="B74" i="26"/>
  <c r="G73" i="26"/>
  <c r="F73" i="26"/>
  <c r="E73" i="26"/>
  <c r="D73" i="26"/>
  <c r="C73" i="26"/>
  <c r="B73" i="26"/>
  <c r="G72" i="26"/>
  <c r="F72" i="26"/>
  <c r="E72" i="26"/>
  <c r="D72" i="26"/>
  <c r="C72" i="26"/>
  <c r="B72" i="26"/>
  <c r="G71" i="26"/>
  <c r="F71" i="26"/>
  <c r="E71" i="26"/>
  <c r="D71" i="26"/>
  <c r="C71" i="26"/>
  <c r="B71" i="26"/>
  <c r="F70" i="26"/>
  <c r="E70" i="26"/>
  <c r="D70" i="26"/>
  <c r="C70" i="26"/>
  <c r="B70" i="26"/>
  <c r="F69" i="26"/>
  <c r="E69" i="26"/>
  <c r="D69" i="26"/>
  <c r="C69" i="26"/>
  <c r="B69" i="26"/>
  <c r="M64" i="26"/>
  <c r="L64" i="26"/>
  <c r="K64" i="26"/>
  <c r="J64" i="26"/>
  <c r="I64" i="26"/>
  <c r="H64" i="26"/>
  <c r="F64" i="26"/>
  <c r="E64" i="26"/>
  <c r="D64" i="26"/>
  <c r="C64" i="26"/>
  <c r="B64" i="26"/>
  <c r="M63" i="26"/>
  <c r="L63" i="26"/>
  <c r="J63" i="26"/>
  <c r="I63" i="26"/>
  <c r="H63" i="26"/>
  <c r="F63" i="26"/>
  <c r="D63" i="26"/>
  <c r="C63" i="26"/>
  <c r="B63" i="26"/>
  <c r="M62" i="26"/>
  <c r="L62" i="26"/>
  <c r="J62" i="26"/>
  <c r="I62" i="26"/>
  <c r="H62" i="26"/>
  <c r="F62" i="26"/>
  <c r="E62" i="26"/>
  <c r="D62" i="26"/>
  <c r="C62" i="26"/>
  <c r="B62" i="26"/>
  <c r="M61" i="26"/>
  <c r="L61" i="26"/>
  <c r="J61" i="26"/>
  <c r="I61" i="26"/>
  <c r="H61" i="26"/>
  <c r="G61" i="26"/>
  <c r="F61" i="26"/>
  <c r="E61" i="26"/>
  <c r="D61" i="26"/>
  <c r="C61" i="26"/>
  <c r="B61" i="26"/>
  <c r="M60" i="26"/>
  <c r="L60" i="26"/>
  <c r="K60" i="26"/>
  <c r="J60" i="26"/>
  <c r="I60" i="26"/>
  <c r="H60" i="26"/>
  <c r="F60" i="26"/>
  <c r="E60" i="26"/>
  <c r="D60" i="26"/>
  <c r="C60" i="26"/>
  <c r="B60" i="26"/>
  <c r="M59" i="26"/>
  <c r="L59" i="26"/>
  <c r="K59" i="26"/>
  <c r="J59" i="26"/>
  <c r="I59" i="26"/>
  <c r="H59" i="26"/>
  <c r="G59" i="26"/>
  <c r="F59" i="26"/>
  <c r="E59" i="26"/>
  <c r="D59" i="26"/>
  <c r="C59" i="26"/>
  <c r="B59" i="26"/>
  <c r="M57" i="26"/>
  <c r="L57" i="26"/>
  <c r="J57" i="26"/>
  <c r="I57" i="26"/>
  <c r="H57" i="26"/>
  <c r="F57" i="26"/>
  <c r="E57" i="26"/>
  <c r="D57" i="26"/>
  <c r="C57" i="26"/>
  <c r="B57" i="26"/>
  <c r="N56" i="26"/>
  <c r="K63" i="26"/>
  <c r="N4" i="26"/>
  <c r="K17" i="22"/>
  <c r="C50" i="15"/>
  <c r="D50" i="15"/>
  <c r="E50" i="15"/>
  <c r="F50" i="15"/>
  <c r="G50" i="15"/>
  <c r="H50" i="15"/>
  <c r="I50" i="15"/>
  <c r="J50" i="15"/>
  <c r="K50" i="15"/>
  <c r="L50" i="15"/>
  <c r="M50" i="15"/>
  <c r="C51" i="15"/>
  <c r="D51" i="15"/>
  <c r="E51" i="15"/>
  <c r="F51" i="15"/>
  <c r="G51" i="15"/>
  <c r="H51" i="15"/>
  <c r="I51" i="15"/>
  <c r="J51" i="15"/>
  <c r="K51" i="15"/>
  <c r="L51" i="15"/>
  <c r="M51" i="15"/>
  <c r="C52" i="15"/>
  <c r="D52" i="15"/>
  <c r="E52" i="15"/>
  <c r="F52" i="15"/>
  <c r="G52" i="15"/>
  <c r="H52" i="15"/>
  <c r="I52" i="15"/>
  <c r="J52" i="15"/>
  <c r="K52" i="15"/>
  <c r="L52" i="15"/>
  <c r="M52" i="15"/>
  <c r="C53" i="15"/>
  <c r="D53" i="15"/>
  <c r="E53" i="15"/>
  <c r="F53" i="15"/>
  <c r="G53" i="15"/>
  <c r="H53" i="15"/>
  <c r="I53" i="15"/>
  <c r="J53" i="15"/>
  <c r="K53" i="15"/>
  <c r="L53" i="15"/>
  <c r="M53" i="15"/>
  <c r="C54" i="15"/>
  <c r="D54" i="15"/>
  <c r="E54" i="15"/>
  <c r="F54" i="15"/>
  <c r="G54" i="15"/>
  <c r="H54" i="15"/>
  <c r="I54" i="15"/>
  <c r="J54" i="15"/>
  <c r="K54" i="15"/>
  <c r="L54" i="15"/>
  <c r="M54" i="15"/>
  <c r="C55" i="15"/>
  <c r="D55" i="15"/>
  <c r="E55" i="15"/>
  <c r="F55" i="15"/>
  <c r="G55" i="15"/>
  <c r="H55" i="15"/>
  <c r="I55" i="15"/>
  <c r="J55" i="15"/>
  <c r="K55" i="15"/>
  <c r="L55" i="15"/>
  <c r="M55" i="15"/>
  <c r="C56" i="15"/>
  <c r="D56" i="15"/>
  <c r="E56" i="15"/>
  <c r="F56" i="15"/>
  <c r="G56" i="15"/>
  <c r="H56" i="15"/>
  <c r="I56" i="15"/>
  <c r="J56" i="15"/>
  <c r="K56" i="15"/>
  <c r="L56" i="15"/>
  <c r="M56" i="15"/>
  <c r="B56" i="15"/>
  <c r="N56" i="15" s="1"/>
  <c r="B55" i="15"/>
  <c r="B54" i="15"/>
  <c r="B53" i="15"/>
  <c r="B52" i="15"/>
  <c r="B51" i="15"/>
  <c r="B50" i="15"/>
  <c r="C60" i="17"/>
  <c r="D60" i="17"/>
  <c r="E60" i="17"/>
  <c r="F60" i="17"/>
  <c r="G60" i="17"/>
  <c r="H60" i="17"/>
  <c r="I60" i="17"/>
  <c r="J60" i="17"/>
  <c r="K60" i="17"/>
  <c r="L60" i="17"/>
  <c r="M60" i="17"/>
  <c r="C61" i="17"/>
  <c r="D61" i="17"/>
  <c r="E61" i="17"/>
  <c r="F61" i="17"/>
  <c r="G61" i="17"/>
  <c r="H61" i="17"/>
  <c r="I61" i="17"/>
  <c r="J61" i="17"/>
  <c r="K61" i="17"/>
  <c r="L61" i="17"/>
  <c r="M61" i="17"/>
  <c r="C62" i="17"/>
  <c r="D62" i="17"/>
  <c r="N62" i="17" s="1"/>
  <c r="E62" i="17"/>
  <c r="F62" i="17"/>
  <c r="G62" i="17"/>
  <c r="H62" i="17"/>
  <c r="I62" i="17"/>
  <c r="J62" i="17"/>
  <c r="K62" i="17"/>
  <c r="L62" i="17"/>
  <c r="M62" i="17"/>
  <c r="C63" i="17"/>
  <c r="D63" i="17"/>
  <c r="E63" i="17"/>
  <c r="F63" i="17"/>
  <c r="G63" i="17"/>
  <c r="H63" i="17"/>
  <c r="I63" i="17"/>
  <c r="J63" i="17"/>
  <c r="K63" i="17"/>
  <c r="L63" i="17"/>
  <c r="M63" i="17"/>
  <c r="C64" i="17"/>
  <c r="D64" i="17"/>
  <c r="E64" i="17"/>
  <c r="F64" i="17"/>
  <c r="G64" i="17"/>
  <c r="H64" i="17"/>
  <c r="I64" i="17"/>
  <c r="J64" i="17"/>
  <c r="K64" i="17"/>
  <c r="L64" i="17"/>
  <c r="M64" i="17"/>
  <c r="C65" i="17"/>
  <c r="D65" i="17"/>
  <c r="E65" i="17"/>
  <c r="F65" i="17"/>
  <c r="G65" i="17"/>
  <c r="H65" i="17"/>
  <c r="I65" i="17"/>
  <c r="J65" i="17"/>
  <c r="K65" i="17"/>
  <c r="L65" i="17"/>
  <c r="M65" i="17"/>
  <c r="C66" i="17"/>
  <c r="D66" i="17"/>
  <c r="E66" i="17"/>
  <c r="F66" i="17"/>
  <c r="G66" i="17"/>
  <c r="H66" i="17"/>
  <c r="I66" i="17"/>
  <c r="J66" i="17"/>
  <c r="K66" i="17"/>
  <c r="L66" i="17"/>
  <c r="M66" i="17"/>
  <c r="B66" i="17"/>
  <c r="B64" i="17"/>
  <c r="B63" i="17"/>
  <c r="B62" i="17"/>
  <c r="B61" i="17"/>
  <c r="B60" i="17"/>
  <c r="C60" i="19"/>
  <c r="D60" i="19"/>
  <c r="E60" i="19"/>
  <c r="F60" i="19"/>
  <c r="G60" i="19"/>
  <c r="H60" i="19"/>
  <c r="I60" i="19"/>
  <c r="J60" i="19"/>
  <c r="K60" i="19"/>
  <c r="L60" i="19"/>
  <c r="M60" i="19"/>
  <c r="C61" i="19"/>
  <c r="N61" i="19" s="1"/>
  <c r="D61" i="19"/>
  <c r="E61" i="19"/>
  <c r="F61" i="19"/>
  <c r="G61" i="19"/>
  <c r="H61" i="19"/>
  <c r="I61" i="19"/>
  <c r="J61" i="19"/>
  <c r="K61" i="19"/>
  <c r="L61" i="19"/>
  <c r="M61" i="19"/>
  <c r="C62" i="19"/>
  <c r="D62" i="19"/>
  <c r="E62" i="19"/>
  <c r="F62" i="19"/>
  <c r="G62" i="19"/>
  <c r="H62" i="19"/>
  <c r="I62" i="19"/>
  <c r="J62" i="19"/>
  <c r="K62" i="19"/>
  <c r="L62" i="19"/>
  <c r="M62" i="19"/>
  <c r="C63" i="19"/>
  <c r="D63" i="19"/>
  <c r="E63" i="19"/>
  <c r="F63" i="19"/>
  <c r="G63" i="19"/>
  <c r="H63" i="19"/>
  <c r="I63" i="19"/>
  <c r="J63" i="19"/>
  <c r="K63" i="19"/>
  <c r="L63" i="19"/>
  <c r="M63" i="19"/>
  <c r="C64" i="19"/>
  <c r="D64" i="19"/>
  <c r="E64" i="19"/>
  <c r="F64" i="19"/>
  <c r="G64" i="19"/>
  <c r="H64" i="19"/>
  <c r="I64" i="19"/>
  <c r="J64" i="19"/>
  <c r="K64" i="19"/>
  <c r="L64" i="19"/>
  <c r="M64" i="19"/>
  <c r="C65" i="19"/>
  <c r="N65" i="19" s="1"/>
  <c r="D65" i="19"/>
  <c r="E65" i="19"/>
  <c r="F65" i="19"/>
  <c r="G65" i="19"/>
  <c r="H65" i="19"/>
  <c r="I65" i="19"/>
  <c r="J65" i="19"/>
  <c r="K65" i="19"/>
  <c r="L65" i="19"/>
  <c r="M65" i="19"/>
  <c r="C66" i="19"/>
  <c r="D66" i="19"/>
  <c r="E66" i="19"/>
  <c r="F66" i="19"/>
  <c r="G66" i="19"/>
  <c r="H66" i="19"/>
  <c r="I66" i="19"/>
  <c r="J66" i="19"/>
  <c r="K66" i="19"/>
  <c r="L66" i="19"/>
  <c r="M66" i="19"/>
  <c r="B66" i="19"/>
  <c r="B65" i="19"/>
  <c r="B64" i="19"/>
  <c r="B63" i="19"/>
  <c r="B62" i="19"/>
  <c r="B61" i="19"/>
  <c r="B60" i="19"/>
  <c r="N60" i="19" s="1"/>
  <c r="C72" i="20"/>
  <c r="D72" i="20"/>
  <c r="E72" i="20"/>
  <c r="F72" i="20"/>
  <c r="G72" i="20"/>
  <c r="H72" i="20"/>
  <c r="I72" i="20"/>
  <c r="J72" i="20"/>
  <c r="K72" i="20"/>
  <c r="L72" i="20"/>
  <c r="M72" i="20"/>
  <c r="C73" i="20"/>
  <c r="D73" i="20"/>
  <c r="E73" i="20"/>
  <c r="F73" i="20"/>
  <c r="G73" i="20"/>
  <c r="H73" i="20"/>
  <c r="I73" i="20"/>
  <c r="J73" i="20"/>
  <c r="K73" i="20"/>
  <c r="L73" i="20"/>
  <c r="M73" i="20"/>
  <c r="C74" i="20"/>
  <c r="D74" i="20"/>
  <c r="E74" i="20"/>
  <c r="F74" i="20"/>
  <c r="G74" i="20"/>
  <c r="H74" i="20"/>
  <c r="I74" i="20"/>
  <c r="J74" i="20"/>
  <c r="K74" i="20"/>
  <c r="L74" i="20"/>
  <c r="M74" i="20"/>
  <c r="C75" i="20"/>
  <c r="D75" i="20"/>
  <c r="E75" i="20"/>
  <c r="F75" i="20"/>
  <c r="G75" i="20"/>
  <c r="H75" i="20"/>
  <c r="I75" i="20"/>
  <c r="J75" i="20"/>
  <c r="K75" i="20"/>
  <c r="L75" i="20"/>
  <c r="M75" i="20"/>
  <c r="C76" i="20"/>
  <c r="D76" i="20"/>
  <c r="E76" i="20"/>
  <c r="F76" i="20"/>
  <c r="G76" i="20"/>
  <c r="H76" i="20"/>
  <c r="I76" i="20"/>
  <c r="J76" i="20"/>
  <c r="K76" i="20"/>
  <c r="L76" i="20"/>
  <c r="M76" i="20"/>
  <c r="C77" i="20"/>
  <c r="D77" i="20"/>
  <c r="E77" i="20"/>
  <c r="F77" i="20"/>
  <c r="G77" i="20"/>
  <c r="H77" i="20"/>
  <c r="I77" i="20"/>
  <c r="J77" i="20"/>
  <c r="K77" i="20"/>
  <c r="L77" i="20"/>
  <c r="M77" i="20"/>
  <c r="C78" i="20"/>
  <c r="D78" i="20"/>
  <c r="E78" i="20"/>
  <c r="F78" i="20"/>
  <c r="G78" i="20"/>
  <c r="H78" i="20"/>
  <c r="I78" i="20"/>
  <c r="J78" i="20"/>
  <c r="K78" i="20"/>
  <c r="L78" i="20"/>
  <c r="M78" i="20"/>
  <c r="B78" i="20"/>
  <c r="B77" i="20"/>
  <c r="B76" i="20"/>
  <c r="N76" i="20" s="1"/>
  <c r="B75" i="20"/>
  <c r="B73" i="20"/>
  <c r="B74" i="20"/>
  <c r="B72" i="20"/>
  <c r="N72" i="20"/>
  <c r="C65" i="21"/>
  <c r="D65" i="21"/>
  <c r="E65" i="21"/>
  <c r="F65" i="21"/>
  <c r="G65" i="21"/>
  <c r="H65" i="21"/>
  <c r="I65" i="21"/>
  <c r="J65" i="21"/>
  <c r="K65" i="21"/>
  <c r="L65" i="21"/>
  <c r="M65" i="21"/>
  <c r="C66" i="21"/>
  <c r="D66" i="21"/>
  <c r="E66" i="21"/>
  <c r="F66" i="21"/>
  <c r="G66" i="21"/>
  <c r="H66" i="21"/>
  <c r="I66" i="21"/>
  <c r="J66" i="21"/>
  <c r="K66" i="21"/>
  <c r="L66" i="21"/>
  <c r="M66" i="21"/>
  <c r="C67" i="21"/>
  <c r="D67" i="21"/>
  <c r="E67" i="21"/>
  <c r="F67" i="21"/>
  <c r="G67" i="21"/>
  <c r="H67" i="21"/>
  <c r="I67" i="21"/>
  <c r="J67" i="21"/>
  <c r="K67" i="21"/>
  <c r="L67" i="21"/>
  <c r="M67" i="21"/>
  <c r="C68" i="21"/>
  <c r="D68" i="21"/>
  <c r="E68" i="21"/>
  <c r="F68" i="21"/>
  <c r="G68" i="21"/>
  <c r="H68" i="21"/>
  <c r="I68" i="21"/>
  <c r="J68" i="21"/>
  <c r="K68" i="21"/>
  <c r="L68" i="21"/>
  <c r="M68" i="21"/>
  <c r="C69" i="21"/>
  <c r="D69" i="21"/>
  <c r="E69" i="21"/>
  <c r="F69" i="21"/>
  <c r="N69" i="21" s="1"/>
  <c r="G69" i="21"/>
  <c r="H69" i="21"/>
  <c r="I69" i="21"/>
  <c r="J69" i="21"/>
  <c r="K69" i="21"/>
  <c r="L69" i="21"/>
  <c r="M69" i="21"/>
  <c r="C70" i="21"/>
  <c r="D70" i="21"/>
  <c r="E70" i="21"/>
  <c r="F70" i="21"/>
  <c r="G70" i="21"/>
  <c r="H70" i="21"/>
  <c r="I70" i="21"/>
  <c r="J70" i="21"/>
  <c r="K70" i="21"/>
  <c r="L70" i="21"/>
  <c r="M70" i="21"/>
  <c r="C71" i="21"/>
  <c r="D71" i="21"/>
  <c r="E71" i="21"/>
  <c r="F71" i="21"/>
  <c r="G71" i="21"/>
  <c r="H71" i="21"/>
  <c r="I71" i="21"/>
  <c r="J71" i="21"/>
  <c r="K71" i="21"/>
  <c r="L71" i="21"/>
  <c r="B65" i="21"/>
  <c r="B66" i="21"/>
  <c r="N66" i="21" s="1"/>
  <c r="B67" i="21"/>
  <c r="B68" i="21"/>
  <c r="N68" i="21" s="1"/>
  <c r="B69" i="21"/>
  <c r="B70" i="21"/>
  <c r="B71" i="21"/>
  <c r="C71" i="22"/>
  <c r="D71" i="22"/>
  <c r="E71" i="22"/>
  <c r="F71" i="22"/>
  <c r="G71" i="22"/>
  <c r="H71" i="22"/>
  <c r="I71" i="22"/>
  <c r="J71" i="22"/>
  <c r="K71" i="22"/>
  <c r="L71" i="22"/>
  <c r="B71" i="22"/>
  <c r="N71" i="22" s="1"/>
  <c r="C70" i="22"/>
  <c r="D70" i="22"/>
  <c r="E70" i="22"/>
  <c r="F70" i="22"/>
  <c r="G70" i="22"/>
  <c r="H70" i="22"/>
  <c r="I70" i="22"/>
  <c r="J70" i="22"/>
  <c r="K70" i="22"/>
  <c r="L70" i="22"/>
  <c r="M70" i="22"/>
  <c r="B70" i="22"/>
  <c r="C69" i="22"/>
  <c r="D69" i="22"/>
  <c r="E69" i="22"/>
  <c r="F69" i="22"/>
  <c r="G69" i="22"/>
  <c r="H69" i="22"/>
  <c r="I69" i="22"/>
  <c r="J69" i="22"/>
  <c r="K69" i="22"/>
  <c r="L69" i="22"/>
  <c r="M69" i="22"/>
  <c r="B69" i="22"/>
  <c r="C68" i="22"/>
  <c r="D68" i="22"/>
  <c r="E68" i="22"/>
  <c r="F68" i="22"/>
  <c r="G68" i="22"/>
  <c r="H68" i="22"/>
  <c r="I68" i="22"/>
  <c r="J68" i="22"/>
  <c r="K68" i="22"/>
  <c r="L68" i="22"/>
  <c r="M68" i="22"/>
  <c r="B68" i="22"/>
  <c r="C67" i="22"/>
  <c r="D67" i="22"/>
  <c r="E67" i="22"/>
  <c r="F67" i="22"/>
  <c r="G67" i="22"/>
  <c r="H67" i="22"/>
  <c r="I67" i="22"/>
  <c r="J67" i="22"/>
  <c r="K67" i="22"/>
  <c r="L67" i="22"/>
  <c r="M67" i="22"/>
  <c r="B67" i="22"/>
  <c r="C66" i="22"/>
  <c r="D66" i="22"/>
  <c r="E66" i="22"/>
  <c r="F66" i="22"/>
  <c r="G66" i="22"/>
  <c r="H66" i="22"/>
  <c r="I66" i="22"/>
  <c r="J66" i="22"/>
  <c r="K66" i="22"/>
  <c r="L66" i="22"/>
  <c r="M66" i="22"/>
  <c r="B66" i="22"/>
  <c r="C65" i="22"/>
  <c r="D65" i="22"/>
  <c r="E65" i="22"/>
  <c r="F65" i="22"/>
  <c r="G65" i="22"/>
  <c r="H65" i="22"/>
  <c r="I65" i="22"/>
  <c r="J65" i="22"/>
  <c r="K65" i="22"/>
  <c r="L65" i="22"/>
  <c r="M65" i="22"/>
  <c r="B65" i="22"/>
  <c r="N70" i="21"/>
  <c r="C58" i="22"/>
  <c r="D58" i="22"/>
  <c r="E58" i="22"/>
  <c r="E6" i="25" s="1"/>
  <c r="F58" i="22"/>
  <c r="G58" i="22"/>
  <c r="E8" i="25" s="1"/>
  <c r="F8" i="25" s="1"/>
  <c r="H58" i="22"/>
  <c r="E9" i="25" s="1"/>
  <c r="F9" i="25" s="1"/>
  <c r="I58" i="22"/>
  <c r="E10" i="25"/>
  <c r="J58" i="22"/>
  <c r="E11" i="25" s="1"/>
  <c r="K58" i="22"/>
  <c r="L58" i="22"/>
  <c r="M58" i="22"/>
  <c r="E14" i="25" s="1"/>
  <c r="N4" i="22"/>
  <c r="O4" i="22" s="1"/>
  <c r="N5" i="22"/>
  <c r="O5" i="22" s="1"/>
  <c r="N6" i="22"/>
  <c r="O6" i="22" s="1"/>
  <c r="N7" i="22"/>
  <c r="O7" i="22" s="1"/>
  <c r="N8" i="22"/>
  <c r="O8" i="22" s="1"/>
  <c r="N9" i="22"/>
  <c r="O9" i="22" s="1"/>
  <c r="N12" i="22"/>
  <c r="O12" i="22" s="1"/>
  <c r="N13" i="22"/>
  <c r="O13" i="22" s="1"/>
  <c r="N15" i="22"/>
  <c r="O15" i="22" s="1"/>
  <c r="N17" i="22"/>
  <c r="O17" i="22" s="1"/>
  <c r="N20" i="22"/>
  <c r="O20" i="22" s="1"/>
  <c r="N21" i="22"/>
  <c r="N22" i="22"/>
  <c r="N24" i="22"/>
  <c r="O24" i="22" s="1"/>
  <c r="N26" i="22"/>
  <c r="O26" i="22" s="1"/>
  <c r="N28" i="22"/>
  <c r="O28" i="22" s="1"/>
  <c r="N30" i="22"/>
  <c r="O30" i="22" s="1"/>
  <c r="N32" i="22"/>
  <c r="O32" i="22" s="1"/>
  <c r="N34" i="22"/>
  <c r="O34" i="22" s="1"/>
  <c r="N36" i="22"/>
  <c r="O36" i="22" s="1"/>
  <c r="N38" i="22"/>
  <c r="O38" i="22" s="1"/>
  <c r="N40" i="22"/>
  <c r="O40" i="22" s="1"/>
  <c r="N42" i="22"/>
  <c r="O42" i="22" s="1"/>
  <c r="N44" i="22"/>
  <c r="O44" i="22" s="1"/>
  <c r="N46" i="22"/>
  <c r="O46" i="22" s="1"/>
  <c r="N50" i="22"/>
  <c r="O50" i="22" s="1"/>
  <c r="N48" i="22"/>
  <c r="O48" i="22" s="1"/>
  <c r="N11" i="22"/>
  <c r="O11" i="22" s="1"/>
  <c r="N14" i="22"/>
  <c r="O14" i="22" s="1"/>
  <c r="N16" i="22"/>
  <c r="O16" i="22" s="1"/>
  <c r="N18" i="22"/>
  <c r="N19" i="22"/>
  <c r="O19" i="22" s="1"/>
  <c r="N23" i="22"/>
  <c r="O23" i="22" s="1"/>
  <c r="N25" i="22"/>
  <c r="O25" i="22" s="1"/>
  <c r="N31" i="22"/>
  <c r="O31" i="22" s="1"/>
  <c r="N33" i="22"/>
  <c r="O33" i="22" s="1"/>
  <c r="N35" i="22"/>
  <c r="O35" i="22" s="1"/>
  <c r="N37" i="22"/>
  <c r="O37" i="22" s="1"/>
  <c r="N39" i="22"/>
  <c r="O39" i="22" s="1"/>
  <c r="N41" i="22"/>
  <c r="O41" i="22" s="1"/>
  <c r="N43" i="22"/>
  <c r="O43" i="22" s="1"/>
  <c r="N45" i="22"/>
  <c r="O45" i="22" s="1"/>
  <c r="N49" i="22"/>
  <c r="O49" i="22" s="1"/>
  <c r="B58" i="22"/>
  <c r="E13" i="25"/>
  <c r="E12" i="25"/>
  <c r="F10" i="25"/>
  <c r="E7" i="25"/>
  <c r="E5" i="25"/>
  <c r="E4" i="25"/>
  <c r="E3" i="25"/>
  <c r="C64" i="20"/>
  <c r="E4" i="24" s="1"/>
  <c r="D64" i="20"/>
  <c r="E5" i="24" s="1"/>
  <c r="E64" i="20"/>
  <c r="E6" i="24" s="1"/>
  <c r="F64" i="20"/>
  <c r="E7" i="24" s="1"/>
  <c r="G64" i="20"/>
  <c r="E8" i="24" s="1"/>
  <c r="H64" i="20"/>
  <c r="E9" i="24" s="1"/>
  <c r="I64" i="20"/>
  <c r="E10" i="24" s="1"/>
  <c r="J64" i="20"/>
  <c r="E11" i="24" s="1"/>
  <c r="K64" i="20"/>
  <c r="E12" i="24" s="1"/>
  <c r="L64" i="20"/>
  <c r="E13" i="24" s="1"/>
  <c r="M64" i="20"/>
  <c r="E14" i="24" s="1"/>
  <c r="B64" i="20"/>
  <c r="K65" i="20"/>
  <c r="C58" i="21"/>
  <c r="E4" i="23" s="1"/>
  <c r="D58" i="21"/>
  <c r="E5" i="23" s="1"/>
  <c r="E58" i="21"/>
  <c r="E6" i="23" s="1"/>
  <c r="F58" i="21"/>
  <c r="E7" i="23" s="1"/>
  <c r="G58" i="21"/>
  <c r="E8" i="23" s="1"/>
  <c r="H58" i="21"/>
  <c r="E9" i="23" s="1"/>
  <c r="I58" i="21"/>
  <c r="E10" i="23" s="1"/>
  <c r="F10" i="23" s="1"/>
  <c r="J58" i="21"/>
  <c r="E11" i="23" s="1"/>
  <c r="K58" i="21"/>
  <c r="E12" i="23" s="1"/>
  <c r="L58" i="21"/>
  <c r="E13" i="23" s="1"/>
  <c r="M58" i="21"/>
  <c r="E14" i="23" s="1"/>
  <c r="B58" i="21"/>
  <c r="E3" i="23" s="1"/>
  <c r="C59" i="22"/>
  <c r="D59" i="22"/>
  <c r="E59" i="22"/>
  <c r="F59" i="22"/>
  <c r="G59" i="22"/>
  <c r="H59" i="22"/>
  <c r="I59" i="22"/>
  <c r="J59" i="22"/>
  <c r="K59" i="22"/>
  <c r="L59" i="22"/>
  <c r="M59" i="22"/>
  <c r="B59" i="22"/>
  <c r="C59" i="21"/>
  <c r="D59" i="21"/>
  <c r="E59" i="21"/>
  <c r="F59" i="21"/>
  <c r="G59" i="21"/>
  <c r="H59" i="21"/>
  <c r="I59" i="21"/>
  <c r="J59" i="21"/>
  <c r="K59" i="21"/>
  <c r="L59" i="21"/>
  <c r="M59" i="21"/>
  <c r="B59" i="21"/>
  <c r="C53" i="22"/>
  <c r="D53" i="22"/>
  <c r="E53" i="22"/>
  <c r="F53" i="22"/>
  <c r="G53" i="22"/>
  <c r="H53" i="22"/>
  <c r="I53" i="22"/>
  <c r="J53" i="22"/>
  <c r="K53" i="22"/>
  <c r="L53" i="22"/>
  <c r="M53" i="22"/>
  <c r="N51" i="22"/>
  <c r="N52" i="22"/>
  <c r="B53" i="22"/>
  <c r="N10" i="22"/>
  <c r="N27" i="22"/>
  <c r="O27" i="22" s="1"/>
  <c r="N29" i="22"/>
  <c r="N47" i="22"/>
  <c r="O47" i="22" s="1"/>
  <c r="N4" i="21"/>
  <c r="N6" i="21"/>
  <c r="N8" i="21"/>
  <c r="N9" i="21"/>
  <c r="N12" i="21"/>
  <c r="N13" i="21"/>
  <c r="N15" i="21"/>
  <c r="N17" i="21"/>
  <c r="N18" i="21"/>
  <c r="N21" i="21"/>
  <c r="N19" i="21"/>
  <c r="N22" i="21"/>
  <c r="N30" i="21"/>
  <c r="N28" i="21"/>
  <c r="N32" i="21"/>
  <c r="N26" i="21"/>
  <c r="N33" i="21"/>
  <c r="N34" i="21"/>
  <c r="N36" i="21"/>
  <c r="N38" i="21"/>
  <c r="N40" i="21"/>
  <c r="N42" i="21"/>
  <c r="N44" i="21"/>
  <c r="N46" i="21"/>
  <c r="N48" i="21"/>
  <c r="N50" i="21"/>
  <c r="N52" i="21"/>
  <c r="B55" i="22"/>
  <c r="C55" i="22"/>
  <c r="D55" i="22"/>
  <c r="E55" i="22"/>
  <c r="F55" i="22"/>
  <c r="G55" i="22"/>
  <c r="H55" i="22"/>
  <c r="I55" i="22"/>
  <c r="J55" i="22"/>
  <c r="K55" i="22"/>
  <c r="L55" i="22"/>
  <c r="M55" i="22"/>
  <c r="B56" i="22"/>
  <c r="C56" i="22"/>
  <c r="D56" i="22"/>
  <c r="E56" i="22"/>
  <c r="F56" i="22"/>
  <c r="G56" i="22"/>
  <c r="H56" i="22"/>
  <c r="I56" i="22"/>
  <c r="J56" i="22"/>
  <c r="K56" i="22"/>
  <c r="L56" i="22"/>
  <c r="M56" i="22"/>
  <c r="N56" i="22"/>
  <c r="B57" i="22"/>
  <c r="C57" i="22"/>
  <c r="D57" i="22"/>
  <c r="E57" i="22"/>
  <c r="F57" i="22"/>
  <c r="G57" i="22"/>
  <c r="H57" i="22"/>
  <c r="I57" i="22"/>
  <c r="J57" i="22"/>
  <c r="K57" i="22"/>
  <c r="L57" i="22"/>
  <c r="M57" i="22"/>
  <c r="B60" i="22"/>
  <c r="C60" i="22"/>
  <c r="D60" i="22"/>
  <c r="E60" i="22"/>
  <c r="F60" i="22"/>
  <c r="G60" i="22"/>
  <c r="H60" i="22"/>
  <c r="I60" i="22"/>
  <c r="J60" i="22"/>
  <c r="K60" i="22"/>
  <c r="L60" i="22"/>
  <c r="N11" i="21"/>
  <c r="N14" i="21"/>
  <c r="N27" i="21"/>
  <c r="N25" i="21"/>
  <c r="C60" i="21"/>
  <c r="D60" i="21"/>
  <c r="E60" i="21"/>
  <c r="F60" i="21"/>
  <c r="G60" i="21"/>
  <c r="H60" i="21"/>
  <c r="I60" i="21"/>
  <c r="J60" i="21"/>
  <c r="K60" i="21"/>
  <c r="L60" i="21"/>
  <c r="B60" i="21"/>
  <c r="N5" i="21"/>
  <c r="N24" i="21"/>
  <c r="N7" i="21"/>
  <c r="N10" i="21"/>
  <c r="N16" i="21"/>
  <c r="N20" i="21"/>
  <c r="N29" i="21"/>
  <c r="N23" i="21"/>
  <c r="N35" i="21"/>
  <c r="N37" i="21"/>
  <c r="N39" i="21"/>
  <c r="N41" i="21"/>
  <c r="N43" i="21"/>
  <c r="N45" i="21"/>
  <c r="N47" i="21"/>
  <c r="N49" i="21"/>
  <c r="N51" i="21"/>
  <c r="C61" i="21"/>
  <c r="D61" i="21"/>
  <c r="E61" i="21"/>
  <c r="F61" i="21"/>
  <c r="G61" i="21"/>
  <c r="H61" i="21"/>
  <c r="I61" i="21"/>
  <c r="J61" i="21"/>
  <c r="K61" i="21"/>
  <c r="L61" i="21"/>
  <c r="M61" i="21"/>
  <c r="B61" i="21"/>
  <c r="B55" i="21"/>
  <c r="B57" i="21"/>
  <c r="B56" i="21"/>
  <c r="C57" i="21"/>
  <c r="D57" i="21"/>
  <c r="E57" i="21"/>
  <c r="F57" i="21"/>
  <c r="G57" i="21"/>
  <c r="H57" i="21"/>
  <c r="I57" i="21"/>
  <c r="J57" i="21"/>
  <c r="K57" i="21"/>
  <c r="L57" i="21"/>
  <c r="M57" i="21"/>
  <c r="C56" i="21"/>
  <c r="D56" i="21"/>
  <c r="E56" i="21"/>
  <c r="F56" i="21"/>
  <c r="G56" i="21"/>
  <c r="H56" i="21"/>
  <c r="I56" i="21"/>
  <c r="J56" i="21"/>
  <c r="K56" i="21"/>
  <c r="L56" i="21"/>
  <c r="M56" i="21"/>
  <c r="C55" i="21"/>
  <c r="D55" i="21"/>
  <c r="E55" i="21"/>
  <c r="F55" i="21"/>
  <c r="G55" i="21"/>
  <c r="H55" i="21"/>
  <c r="I55" i="21"/>
  <c r="J55" i="21"/>
  <c r="K55" i="21"/>
  <c r="L55" i="21"/>
  <c r="M55" i="21"/>
  <c r="N31" i="21"/>
  <c r="N59" i="21" s="1"/>
  <c r="N53" i="21"/>
  <c r="N37" i="20"/>
  <c r="N16" i="20"/>
  <c r="N17" i="20"/>
  <c r="N18" i="20"/>
  <c r="N19" i="20"/>
  <c r="N20" i="20"/>
  <c r="N21" i="20"/>
  <c r="N22" i="20"/>
  <c r="N23" i="20"/>
  <c r="P21" i="19"/>
  <c r="P13" i="19"/>
  <c r="P9" i="19"/>
  <c r="P17" i="19"/>
  <c r="P18" i="19"/>
  <c r="Q17" i="19"/>
  <c r="P19" i="19"/>
  <c r="C42" i="15"/>
  <c r="D42" i="15"/>
  <c r="E42" i="15"/>
  <c r="F42" i="15"/>
  <c r="G42" i="15"/>
  <c r="H42" i="15"/>
  <c r="I42" i="15"/>
  <c r="L42" i="15"/>
  <c r="M42" i="15"/>
  <c r="B42" i="15"/>
  <c r="N4" i="20"/>
  <c r="N5" i="20"/>
  <c r="N6" i="20"/>
  <c r="N7" i="20"/>
  <c r="N9" i="20"/>
  <c r="N10" i="20"/>
  <c r="N11" i="20"/>
  <c r="N12" i="20"/>
  <c r="N13" i="20"/>
  <c r="N14" i="20"/>
  <c r="N24" i="20"/>
  <c r="N25" i="20"/>
  <c r="N27" i="20"/>
  <c r="N28" i="20"/>
  <c r="N30" i="20"/>
  <c r="N33" i="20"/>
  <c r="N35" i="20"/>
  <c r="N36" i="20"/>
  <c r="N38" i="20"/>
  <c r="N39" i="20"/>
  <c r="N40" i="20"/>
  <c r="N41" i="20"/>
  <c r="N42" i="20"/>
  <c r="N43" i="20"/>
  <c r="N44" i="20"/>
  <c r="N45" i="20"/>
  <c r="N46" i="20"/>
  <c r="N47" i="20"/>
  <c r="N58" i="20"/>
  <c r="N57" i="20"/>
  <c r="N59" i="20"/>
  <c r="N8" i="20"/>
  <c r="N15" i="20"/>
  <c r="N26" i="20"/>
  <c r="N29" i="20"/>
  <c r="N31" i="20"/>
  <c r="N32" i="20"/>
  <c r="N34" i="20"/>
  <c r="N48" i="20"/>
  <c r="N49" i="20"/>
  <c r="N50" i="20"/>
  <c r="N51" i="20"/>
  <c r="N52" i="20"/>
  <c r="N53" i="20"/>
  <c r="N54" i="20"/>
  <c r="N55" i="20"/>
  <c r="N56" i="20"/>
  <c r="C63" i="20"/>
  <c r="D63" i="20"/>
  <c r="E63" i="20"/>
  <c r="F63" i="20"/>
  <c r="G63" i="20"/>
  <c r="H63" i="20"/>
  <c r="I63" i="20"/>
  <c r="J63" i="20"/>
  <c r="K63" i="20"/>
  <c r="L63" i="20"/>
  <c r="M63" i="20"/>
  <c r="B63" i="20"/>
  <c r="C62" i="20"/>
  <c r="D62" i="20"/>
  <c r="E62" i="20"/>
  <c r="F62" i="20"/>
  <c r="G62" i="20"/>
  <c r="H62" i="20"/>
  <c r="I62" i="20"/>
  <c r="J62" i="20"/>
  <c r="K62" i="20"/>
  <c r="L62" i="20"/>
  <c r="M62" i="20"/>
  <c r="B62" i="20"/>
  <c r="C61" i="20"/>
  <c r="D61" i="20"/>
  <c r="E61" i="20"/>
  <c r="F61" i="20"/>
  <c r="G61" i="20"/>
  <c r="H61" i="20"/>
  <c r="I61" i="20"/>
  <c r="J61" i="20"/>
  <c r="K61" i="20"/>
  <c r="L61" i="20"/>
  <c r="M61" i="20"/>
  <c r="B61" i="20"/>
  <c r="N12" i="19"/>
  <c r="N29" i="19"/>
  <c r="N47" i="19" s="1"/>
  <c r="C49" i="19"/>
  <c r="D49" i="19"/>
  <c r="E49" i="19"/>
  <c r="F49" i="19"/>
  <c r="G49" i="19"/>
  <c r="H49" i="19"/>
  <c r="I49" i="19"/>
  <c r="J49" i="19"/>
  <c r="K49" i="19"/>
  <c r="L49" i="19"/>
  <c r="M49" i="19"/>
  <c r="B49" i="19"/>
  <c r="N28" i="17"/>
  <c r="N12" i="17"/>
  <c r="C48" i="17"/>
  <c r="D48" i="17"/>
  <c r="E48" i="17"/>
  <c r="F48" i="17"/>
  <c r="G48" i="17"/>
  <c r="H48" i="17"/>
  <c r="I48" i="17"/>
  <c r="J48" i="17"/>
  <c r="K48" i="17"/>
  <c r="L48" i="17"/>
  <c r="M48" i="17"/>
  <c r="M43" i="15"/>
  <c r="N25" i="15"/>
  <c r="B43" i="15"/>
  <c r="M36" i="14"/>
  <c r="M32" i="11"/>
  <c r="B65" i="20"/>
  <c r="C65" i="20"/>
  <c r="D65" i="20"/>
  <c r="E65" i="20"/>
  <c r="F65" i="20"/>
  <c r="G65" i="20"/>
  <c r="H65" i="20"/>
  <c r="I65" i="20"/>
  <c r="J65" i="20"/>
  <c r="L65" i="20"/>
  <c r="M65" i="20"/>
  <c r="B67" i="20"/>
  <c r="C67" i="20"/>
  <c r="D67" i="20"/>
  <c r="E67" i="20"/>
  <c r="F67" i="20"/>
  <c r="G67" i="20"/>
  <c r="H67" i="20"/>
  <c r="I67" i="20"/>
  <c r="J67" i="20"/>
  <c r="K67" i="20"/>
  <c r="L67" i="20"/>
  <c r="M67" i="20"/>
  <c r="N16" i="19"/>
  <c r="O5" i="17"/>
  <c r="O6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" i="17"/>
  <c r="C50" i="19"/>
  <c r="N17" i="19"/>
  <c r="N9" i="19"/>
  <c r="N13" i="19"/>
  <c r="N18" i="19"/>
  <c r="N25" i="19"/>
  <c r="N28" i="19"/>
  <c r="N43" i="19"/>
  <c r="N4" i="19"/>
  <c r="N5" i="19"/>
  <c r="N6" i="19"/>
  <c r="N7" i="19"/>
  <c r="N8" i="19"/>
  <c r="N14" i="19"/>
  <c r="N19" i="19"/>
  <c r="N20" i="19"/>
  <c r="N21" i="19"/>
  <c r="N26" i="19"/>
  <c r="N31" i="19"/>
  <c r="N32" i="19"/>
  <c r="N33" i="19"/>
  <c r="N34" i="19"/>
  <c r="N35" i="19"/>
  <c r="N36" i="19"/>
  <c r="N37" i="19"/>
  <c r="N38" i="19"/>
  <c r="N39" i="19"/>
  <c r="N10" i="19"/>
  <c r="N30" i="19"/>
  <c r="N44" i="19"/>
  <c r="N22" i="19"/>
  <c r="N23" i="19"/>
  <c r="N24" i="19"/>
  <c r="N29" i="17"/>
  <c r="N30" i="17"/>
  <c r="N11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6" i="17"/>
  <c r="N27" i="17"/>
  <c r="N11" i="19"/>
  <c r="N15" i="19"/>
  <c r="N40" i="19"/>
  <c r="N41" i="19"/>
  <c r="N42" i="19"/>
  <c r="B46" i="19"/>
  <c r="C46" i="19"/>
  <c r="D46" i="19"/>
  <c r="E46" i="19"/>
  <c r="F46" i="19"/>
  <c r="G46" i="19"/>
  <c r="H46" i="19"/>
  <c r="I46" i="19"/>
  <c r="J46" i="19"/>
  <c r="K46" i="19"/>
  <c r="L46" i="19"/>
  <c r="M46" i="19"/>
  <c r="B47" i="19"/>
  <c r="C47" i="19"/>
  <c r="D47" i="19"/>
  <c r="E47" i="19"/>
  <c r="F47" i="19"/>
  <c r="G47" i="19"/>
  <c r="H47" i="19"/>
  <c r="I47" i="19"/>
  <c r="J47" i="19"/>
  <c r="K47" i="19"/>
  <c r="L47" i="19"/>
  <c r="M47" i="19"/>
  <c r="B48" i="19"/>
  <c r="C48" i="19"/>
  <c r="D48" i="19"/>
  <c r="E48" i="19"/>
  <c r="F48" i="19"/>
  <c r="G48" i="19"/>
  <c r="H48" i="19"/>
  <c r="I48" i="19"/>
  <c r="J48" i="19"/>
  <c r="K48" i="19"/>
  <c r="L48" i="19"/>
  <c r="M48" i="19"/>
  <c r="B50" i="19"/>
  <c r="D50" i="19"/>
  <c r="E50" i="19"/>
  <c r="F50" i="19"/>
  <c r="G50" i="19"/>
  <c r="H50" i="19"/>
  <c r="I50" i="19"/>
  <c r="J50" i="19"/>
  <c r="K50" i="19"/>
  <c r="L50" i="19"/>
  <c r="M50" i="19"/>
  <c r="B52" i="19"/>
  <c r="C52" i="19"/>
  <c r="D52" i="19"/>
  <c r="E52" i="19"/>
  <c r="F52" i="19"/>
  <c r="G52" i="19"/>
  <c r="H52" i="19"/>
  <c r="I52" i="19"/>
  <c r="J52" i="19"/>
  <c r="K52" i="19"/>
  <c r="L52" i="19"/>
  <c r="M52" i="19"/>
  <c r="K2" i="18"/>
  <c r="N19" i="14"/>
  <c r="E49" i="17"/>
  <c r="F49" i="17"/>
  <c r="G49" i="17"/>
  <c r="H49" i="17"/>
  <c r="I49" i="17"/>
  <c r="J49" i="17"/>
  <c r="K49" i="17"/>
  <c r="L49" i="17"/>
  <c r="M49" i="17"/>
  <c r="N4" i="17"/>
  <c r="N6" i="17"/>
  <c r="N8" i="17"/>
  <c r="N9" i="17"/>
  <c r="N10" i="17"/>
  <c r="N31" i="17"/>
  <c r="N32" i="17"/>
  <c r="N33" i="17"/>
  <c r="N34" i="17"/>
  <c r="N35" i="17"/>
  <c r="N36" i="17"/>
  <c r="N37" i="17"/>
  <c r="N38" i="17"/>
  <c r="N39" i="17"/>
  <c r="N40" i="17"/>
  <c r="N42" i="17"/>
  <c r="N7" i="17"/>
  <c r="N5" i="17"/>
  <c r="N45" i="17" s="1"/>
  <c r="C49" i="17"/>
  <c r="D49" i="17"/>
  <c r="F50" i="17"/>
  <c r="G50" i="17"/>
  <c r="H50" i="17"/>
  <c r="I50" i="17"/>
  <c r="J50" i="17"/>
  <c r="K50" i="17"/>
  <c r="L50" i="17"/>
  <c r="C50" i="17"/>
  <c r="D50" i="17"/>
  <c r="E50" i="17"/>
  <c r="F47" i="17"/>
  <c r="G47" i="17"/>
  <c r="H47" i="17"/>
  <c r="I47" i="17"/>
  <c r="J47" i="17"/>
  <c r="K47" i="17"/>
  <c r="L47" i="17"/>
  <c r="M47" i="17"/>
  <c r="B47" i="17"/>
  <c r="C47" i="17"/>
  <c r="D47" i="17"/>
  <c r="E47" i="17"/>
  <c r="F46" i="17"/>
  <c r="G46" i="17"/>
  <c r="H46" i="17"/>
  <c r="I46" i="17"/>
  <c r="J46" i="17"/>
  <c r="K46" i="17"/>
  <c r="L46" i="17"/>
  <c r="M46" i="17"/>
  <c r="B46" i="17"/>
  <c r="C46" i="17"/>
  <c r="D46" i="17"/>
  <c r="F45" i="17"/>
  <c r="G45" i="17"/>
  <c r="H45" i="17"/>
  <c r="I45" i="17"/>
  <c r="J45" i="17"/>
  <c r="K45" i="17"/>
  <c r="L45" i="17"/>
  <c r="M45" i="17"/>
  <c r="B45" i="17"/>
  <c r="C45" i="17"/>
  <c r="D45" i="17"/>
  <c r="E45" i="17"/>
  <c r="M51" i="17"/>
  <c r="L51" i="17"/>
  <c r="K51" i="17"/>
  <c r="J51" i="17"/>
  <c r="I51" i="17"/>
  <c r="H51" i="17"/>
  <c r="G51" i="17"/>
  <c r="F51" i="17"/>
  <c r="E51" i="17"/>
  <c r="C51" i="17"/>
  <c r="D51" i="17"/>
  <c r="N41" i="17"/>
  <c r="B25" i="17"/>
  <c r="B65" i="17" s="1"/>
  <c r="E46" i="17"/>
  <c r="M44" i="15"/>
  <c r="M41" i="15"/>
  <c r="M40" i="15"/>
  <c r="M46" i="15"/>
  <c r="N38" i="15"/>
  <c r="N11" i="15"/>
  <c r="N13" i="15"/>
  <c r="N12" i="15"/>
  <c r="N10" i="15"/>
  <c r="N9" i="15"/>
  <c r="N8" i="15"/>
  <c r="N4" i="15"/>
  <c r="N5" i="15"/>
  <c r="N6" i="15"/>
  <c r="N7" i="15"/>
  <c r="N14" i="15"/>
  <c r="N41" i="15" s="1"/>
  <c r="N15" i="15"/>
  <c r="N16" i="15"/>
  <c r="N17" i="15"/>
  <c r="N18" i="15"/>
  <c r="N19" i="15"/>
  <c r="N20" i="15"/>
  <c r="N21" i="15"/>
  <c r="N22" i="15"/>
  <c r="N23" i="15"/>
  <c r="N24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B40" i="15"/>
  <c r="C40" i="15"/>
  <c r="D40" i="15"/>
  <c r="E40" i="15"/>
  <c r="F40" i="15"/>
  <c r="G40" i="15"/>
  <c r="H40" i="15"/>
  <c r="I40" i="15"/>
  <c r="L40" i="15"/>
  <c r="N40" i="15"/>
  <c r="B41" i="15"/>
  <c r="C41" i="15"/>
  <c r="D41" i="15"/>
  <c r="E41" i="15"/>
  <c r="F41" i="15"/>
  <c r="G41" i="15"/>
  <c r="H41" i="15"/>
  <c r="I41" i="15"/>
  <c r="L41" i="15"/>
  <c r="C43" i="15"/>
  <c r="D43" i="15"/>
  <c r="E43" i="15"/>
  <c r="F43" i="15"/>
  <c r="G43" i="15"/>
  <c r="H43" i="15"/>
  <c r="I43" i="15"/>
  <c r="J43" i="15"/>
  <c r="K43" i="15"/>
  <c r="L43" i="15"/>
  <c r="B44" i="15"/>
  <c r="C44" i="15"/>
  <c r="D44" i="15"/>
  <c r="E44" i="15"/>
  <c r="F44" i="15"/>
  <c r="G44" i="15"/>
  <c r="H44" i="15"/>
  <c r="I44" i="15"/>
  <c r="J44" i="15"/>
  <c r="K44" i="15"/>
  <c r="L44" i="15"/>
  <c r="B46" i="15"/>
  <c r="C46" i="15"/>
  <c r="D46" i="15"/>
  <c r="E46" i="15"/>
  <c r="F46" i="15"/>
  <c r="G46" i="15"/>
  <c r="H46" i="15"/>
  <c r="I46" i="15"/>
  <c r="J46" i="15"/>
  <c r="K46" i="15"/>
  <c r="L46" i="15"/>
  <c r="N46" i="15"/>
  <c r="N4" i="14"/>
  <c r="N5" i="14"/>
  <c r="N6" i="14"/>
  <c r="N7" i="14"/>
  <c r="N8" i="14"/>
  <c r="N38" i="14" s="1"/>
  <c r="N9" i="14"/>
  <c r="N10" i="14"/>
  <c r="N11" i="14"/>
  <c r="N12" i="14"/>
  <c r="N13" i="14"/>
  <c r="N14" i="14"/>
  <c r="N15" i="14"/>
  <c r="N16" i="14"/>
  <c r="N17" i="14"/>
  <c r="N18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G33" i="14"/>
  <c r="H33" i="14"/>
  <c r="I33" i="14"/>
  <c r="J33" i="14"/>
  <c r="K33" i="14"/>
  <c r="L33" i="14"/>
  <c r="M33" i="14"/>
  <c r="N33" i="14"/>
  <c r="G34" i="14"/>
  <c r="H34" i="14"/>
  <c r="I34" i="14"/>
  <c r="J34" i="14"/>
  <c r="K34" i="14"/>
  <c r="L34" i="14"/>
  <c r="M34" i="14"/>
  <c r="B35" i="14"/>
  <c r="C35" i="14"/>
  <c r="D35" i="14"/>
  <c r="E35" i="14"/>
  <c r="F35" i="14"/>
  <c r="G35" i="14"/>
  <c r="H35" i="14"/>
  <c r="I35" i="14"/>
  <c r="J35" i="14"/>
  <c r="K35" i="14"/>
  <c r="L35" i="14"/>
  <c r="M35" i="14"/>
  <c r="B36" i="14"/>
  <c r="C36" i="14"/>
  <c r="D36" i="14"/>
  <c r="E36" i="14"/>
  <c r="F36" i="14"/>
  <c r="G36" i="14"/>
  <c r="H36" i="14"/>
  <c r="I36" i="14"/>
  <c r="J36" i="14"/>
  <c r="K36" i="14"/>
  <c r="L36" i="14"/>
  <c r="B37" i="14"/>
  <c r="C37" i="14"/>
  <c r="D37" i="14"/>
  <c r="E37" i="14"/>
  <c r="F37" i="14"/>
  <c r="G37" i="14"/>
  <c r="H37" i="14"/>
  <c r="I37" i="14"/>
  <c r="J37" i="14"/>
  <c r="K37" i="14"/>
  <c r="L37" i="14"/>
  <c r="M37" i="14"/>
  <c r="B38" i="14"/>
  <c r="C38" i="14"/>
  <c r="D38" i="14"/>
  <c r="E38" i="14"/>
  <c r="F38" i="14"/>
  <c r="B39" i="14"/>
  <c r="C39" i="14"/>
  <c r="D39" i="14"/>
  <c r="E39" i="14"/>
  <c r="F39" i="14"/>
  <c r="G39" i="14"/>
  <c r="H39" i="14"/>
  <c r="I39" i="14"/>
  <c r="J39" i="14"/>
  <c r="K39" i="14"/>
  <c r="L39" i="14"/>
  <c r="M39" i="14"/>
  <c r="N4" i="13"/>
  <c r="N5" i="13"/>
  <c r="N6" i="13"/>
  <c r="N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B33" i="13"/>
  <c r="C33" i="13"/>
  <c r="D33" i="13"/>
  <c r="E33" i="13"/>
  <c r="F33" i="13"/>
  <c r="G33" i="13"/>
  <c r="H33" i="13"/>
  <c r="I33" i="13"/>
  <c r="J33" i="13"/>
  <c r="K33" i="13"/>
  <c r="L33" i="13"/>
  <c r="M33" i="13"/>
  <c r="B34" i="13"/>
  <c r="C34" i="13"/>
  <c r="D34" i="13"/>
  <c r="E34" i="13"/>
  <c r="F34" i="13"/>
  <c r="G34" i="13"/>
  <c r="H34" i="13"/>
  <c r="I34" i="13"/>
  <c r="J34" i="13"/>
  <c r="K34" i="13"/>
  <c r="L34" i="13"/>
  <c r="M34" i="13"/>
  <c r="B35" i="13"/>
  <c r="C35" i="13"/>
  <c r="D35" i="13"/>
  <c r="E35" i="13"/>
  <c r="F35" i="13"/>
  <c r="G35" i="13"/>
  <c r="H35" i="13"/>
  <c r="I35" i="13"/>
  <c r="J35" i="13"/>
  <c r="K35" i="13"/>
  <c r="L35" i="13"/>
  <c r="M35" i="13"/>
  <c r="B36" i="13"/>
  <c r="C36" i="13"/>
  <c r="D36" i="13"/>
  <c r="E36" i="13"/>
  <c r="F36" i="13"/>
  <c r="G36" i="13"/>
  <c r="H36" i="13"/>
  <c r="I36" i="13"/>
  <c r="J36" i="13"/>
  <c r="K36" i="13"/>
  <c r="L36" i="13"/>
  <c r="M36" i="13"/>
  <c r="B37" i="13"/>
  <c r="C37" i="13"/>
  <c r="D37" i="13"/>
  <c r="E37" i="13"/>
  <c r="F37" i="13"/>
  <c r="G37" i="13"/>
  <c r="H37" i="13"/>
  <c r="I37" i="13"/>
  <c r="J37" i="13"/>
  <c r="K37" i="13"/>
  <c r="L37" i="13"/>
  <c r="B38" i="13"/>
  <c r="C38" i="13"/>
  <c r="D38" i="13"/>
  <c r="E38" i="13"/>
  <c r="F38" i="13"/>
  <c r="G38" i="13"/>
  <c r="H38" i="13"/>
  <c r="I38" i="13"/>
  <c r="J38" i="13"/>
  <c r="K38" i="13"/>
  <c r="L38" i="13"/>
  <c r="M38" i="13"/>
  <c r="E4" i="12"/>
  <c r="F4" i="12"/>
  <c r="F38" i="12" s="1"/>
  <c r="H4" i="12"/>
  <c r="I4" i="12"/>
  <c r="I35" i="12" s="1"/>
  <c r="J4" i="12"/>
  <c r="K4" i="12"/>
  <c r="E5" i="12"/>
  <c r="E33" i="12" s="1"/>
  <c r="F5" i="12"/>
  <c r="H5" i="12"/>
  <c r="I5" i="12"/>
  <c r="J5" i="12"/>
  <c r="K5" i="12"/>
  <c r="K34" i="12" s="1"/>
  <c r="E6" i="12"/>
  <c r="F6" i="12"/>
  <c r="H6" i="12"/>
  <c r="H37" i="12" s="1"/>
  <c r="I6" i="12"/>
  <c r="I37" i="12" s="1"/>
  <c r="J6" i="12"/>
  <c r="K6" i="12"/>
  <c r="K37" i="12" s="1"/>
  <c r="N7" i="12"/>
  <c r="N8" i="12"/>
  <c r="N9" i="12"/>
  <c r="N10" i="12"/>
  <c r="N11" i="12"/>
  <c r="N12" i="12"/>
  <c r="N13" i="12"/>
  <c r="N14" i="12"/>
  <c r="N15" i="12"/>
  <c r="N16" i="12"/>
  <c r="E17" i="12"/>
  <c r="F17" i="12"/>
  <c r="G17" i="12"/>
  <c r="G37" i="12" s="1"/>
  <c r="H17" i="12"/>
  <c r="I17" i="12"/>
  <c r="J17" i="12"/>
  <c r="J38" i="12" s="1"/>
  <c r="K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B33" i="12"/>
  <c r="C33" i="12"/>
  <c r="D33" i="12"/>
  <c r="G33" i="12"/>
  <c r="K33" i="12"/>
  <c r="L33" i="12"/>
  <c r="M33" i="12"/>
  <c r="B34" i="12"/>
  <c r="C34" i="12"/>
  <c r="D34" i="12"/>
  <c r="L34" i="12"/>
  <c r="M34" i="12"/>
  <c r="B35" i="12"/>
  <c r="C35" i="12"/>
  <c r="D35" i="12"/>
  <c r="J35" i="12"/>
  <c r="L35" i="12"/>
  <c r="M35" i="12"/>
  <c r="B36" i="12"/>
  <c r="N36" i="12" s="1"/>
  <c r="C36" i="12"/>
  <c r="D36" i="12"/>
  <c r="E36" i="12"/>
  <c r="F36" i="12"/>
  <c r="G36" i="12"/>
  <c r="H36" i="12"/>
  <c r="I36" i="12"/>
  <c r="J36" i="12"/>
  <c r="K36" i="12"/>
  <c r="L36" i="12"/>
  <c r="M36" i="12"/>
  <c r="B37" i="12"/>
  <c r="C37" i="12"/>
  <c r="D37" i="12"/>
  <c r="E37" i="12"/>
  <c r="L37" i="12"/>
  <c r="B38" i="12"/>
  <c r="C38" i="12"/>
  <c r="D38" i="12"/>
  <c r="G38" i="12"/>
  <c r="L38" i="12"/>
  <c r="M38" i="12"/>
  <c r="N4" i="11"/>
  <c r="N5" i="11"/>
  <c r="N6" i="11"/>
  <c r="N7" i="11"/>
  <c r="N36" i="11" s="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B31" i="11"/>
  <c r="C31" i="11"/>
  <c r="D31" i="11"/>
  <c r="E31" i="11"/>
  <c r="F31" i="11"/>
  <c r="G31" i="11"/>
  <c r="H31" i="11"/>
  <c r="I31" i="11"/>
  <c r="J31" i="11"/>
  <c r="K31" i="11"/>
  <c r="L31" i="11"/>
  <c r="M31" i="11"/>
  <c r="B32" i="11"/>
  <c r="C32" i="11"/>
  <c r="D32" i="11"/>
  <c r="E32" i="11"/>
  <c r="F32" i="11"/>
  <c r="G32" i="11"/>
  <c r="H32" i="11"/>
  <c r="I32" i="11"/>
  <c r="J32" i="11"/>
  <c r="K32" i="11"/>
  <c r="L32" i="11"/>
  <c r="B33" i="11"/>
  <c r="C33" i="11"/>
  <c r="D33" i="11"/>
  <c r="E33" i="11"/>
  <c r="F33" i="11"/>
  <c r="G33" i="11"/>
  <c r="H33" i="11"/>
  <c r="I33" i="11"/>
  <c r="J33" i="11"/>
  <c r="K33" i="11"/>
  <c r="L33" i="11"/>
  <c r="M33" i="11"/>
  <c r="B34" i="11"/>
  <c r="C34" i="11"/>
  <c r="D34" i="11"/>
  <c r="E34" i="11"/>
  <c r="F34" i="11"/>
  <c r="G34" i="11"/>
  <c r="H34" i="11"/>
  <c r="I34" i="11"/>
  <c r="J34" i="11"/>
  <c r="K34" i="11"/>
  <c r="L34" i="11"/>
  <c r="M34" i="11"/>
  <c r="B35" i="11"/>
  <c r="C35" i="11"/>
  <c r="D35" i="11"/>
  <c r="E35" i="11"/>
  <c r="F35" i="11"/>
  <c r="G35" i="11"/>
  <c r="H35" i="11"/>
  <c r="I35" i="11"/>
  <c r="J35" i="11"/>
  <c r="K35" i="11"/>
  <c r="L35" i="11"/>
  <c r="B36" i="11"/>
  <c r="C36" i="11"/>
  <c r="D36" i="11"/>
  <c r="E36" i="11"/>
  <c r="F36" i="11"/>
  <c r="G36" i="11"/>
  <c r="H36" i="11"/>
  <c r="I36" i="11"/>
  <c r="J36" i="11"/>
  <c r="K36" i="11"/>
  <c r="L36" i="11"/>
  <c r="M36" i="11"/>
  <c r="N4" i="7"/>
  <c r="N5" i="7"/>
  <c r="N6" i="7"/>
  <c r="N36" i="7" s="1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B31" i="7"/>
  <c r="C31" i="7"/>
  <c r="D31" i="7"/>
  <c r="E31" i="7"/>
  <c r="F31" i="7"/>
  <c r="G31" i="7"/>
  <c r="H31" i="7"/>
  <c r="I31" i="7"/>
  <c r="J31" i="7"/>
  <c r="K31" i="7"/>
  <c r="L31" i="7"/>
  <c r="M31" i="7"/>
  <c r="B32" i="7"/>
  <c r="C32" i="7"/>
  <c r="D32" i="7"/>
  <c r="E32" i="7"/>
  <c r="F32" i="7"/>
  <c r="G32" i="7"/>
  <c r="H32" i="7"/>
  <c r="I32" i="7"/>
  <c r="J32" i="7"/>
  <c r="K32" i="7"/>
  <c r="L32" i="7"/>
  <c r="M32" i="7"/>
  <c r="B33" i="7"/>
  <c r="C33" i="7"/>
  <c r="D33" i="7"/>
  <c r="E33" i="7"/>
  <c r="F33" i="7"/>
  <c r="G33" i="7"/>
  <c r="H33" i="7"/>
  <c r="I33" i="7"/>
  <c r="J33" i="7"/>
  <c r="K33" i="7"/>
  <c r="L33" i="7"/>
  <c r="M33" i="7"/>
  <c r="B34" i="7"/>
  <c r="C34" i="7"/>
  <c r="D34" i="7"/>
  <c r="E34" i="7"/>
  <c r="F34" i="7"/>
  <c r="G34" i="7"/>
  <c r="H34" i="7"/>
  <c r="I34" i="7"/>
  <c r="J34" i="7"/>
  <c r="K34" i="7"/>
  <c r="L34" i="7"/>
  <c r="M34" i="7"/>
  <c r="B35" i="7"/>
  <c r="N35" i="7" s="1"/>
  <c r="F3" i="18" s="1"/>
  <c r="C35" i="7"/>
  <c r="D35" i="7"/>
  <c r="E35" i="7"/>
  <c r="F35" i="7"/>
  <c r="G35" i="7"/>
  <c r="H35" i="7"/>
  <c r="I35" i="7"/>
  <c r="J35" i="7"/>
  <c r="K35" i="7"/>
  <c r="L35" i="7"/>
  <c r="B36" i="7"/>
  <c r="C36" i="7"/>
  <c r="D36" i="7"/>
  <c r="E36" i="7"/>
  <c r="F36" i="7"/>
  <c r="G36" i="7"/>
  <c r="H36" i="7"/>
  <c r="I36" i="7"/>
  <c r="J36" i="7"/>
  <c r="K36" i="7"/>
  <c r="L36" i="7"/>
  <c r="M36" i="7"/>
  <c r="N4" i="4"/>
  <c r="N36" i="4" s="1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B31" i="4"/>
  <c r="C31" i="4"/>
  <c r="D31" i="4"/>
  <c r="E31" i="4"/>
  <c r="F31" i="4"/>
  <c r="G31" i="4"/>
  <c r="H31" i="4"/>
  <c r="I31" i="4"/>
  <c r="J31" i="4"/>
  <c r="K31" i="4"/>
  <c r="L31" i="4"/>
  <c r="M31" i="4"/>
  <c r="B32" i="4"/>
  <c r="C32" i="4"/>
  <c r="D32" i="4"/>
  <c r="E32" i="4"/>
  <c r="F32" i="4"/>
  <c r="G32" i="4"/>
  <c r="H32" i="4"/>
  <c r="I32" i="4"/>
  <c r="J32" i="4"/>
  <c r="K32" i="4"/>
  <c r="L32" i="4"/>
  <c r="M32" i="4"/>
  <c r="B33" i="4"/>
  <c r="C33" i="4"/>
  <c r="D33" i="4"/>
  <c r="E33" i="4"/>
  <c r="F33" i="4"/>
  <c r="G33" i="4"/>
  <c r="H33" i="4"/>
  <c r="I33" i="4"/>
  <c r="J33" i="4"/>
  <c r="K33" i="4"/>
  <c r="L33" i="4"/>
  <c r="M33" i="4"/>
  <c r="B34" i="4"/>
  <c r="C34" i="4"/>
  <c r="D34" i="4"/>
  <c r="E34" i="4"/>
  <c r="F34" i="4"/>
  <c r="G34" i="4"/>
  <c r="H34" i="4"/>
  <c r="I34" i="4"/>
  <c r="J34" i="4"/>
  <c r="K34" i="4"/>
  <c r="L34" i="4"/>
  <c r="M34" i="4"/>
  <c r="B35" i="4"/>
  <c r="C35" i="4"/>
  <c r="D35" i="4"/>
  <c r="E35" i="4"/>
  <c r="F35" i="4"/>
  <c r="G35" i="4"/>
  <c r="H35" i="4"/>
  <c r="I35" i="4"/>
  <c r="J35" i="4"/>
  <c r="K35" i="4"/>
  <c r="L35" i="4"/>
  <c r="B36" i="4"/>
  <c r="C36" i="4"/>
  <c r="D36" i="4"/>
  <c r="E36" i="4"/>
  <c r="F36" i="4"/>
  <c r="G36" i="4"/>
  <c r="H36" i="4"/>
  <c r="I36" i="4"/>
  <c r="J36" i="4"/>
  <c r="K36" i="4"/>
  <c r="L36" i="4"/>
  <c r="M36" i="4"/>
  <c r="B4" i="3"/>
  <c r="C4" i="3"/>
  <c r="C36" i="3" s="1"/>
  <c r="D4" i="3"/>
  <c r="E4" i="3"/>
  <c r="F4" i="3"/>
  <c r="G4" i="3"/>
  <c r="B5" i="3"/>
  <c r="B33" i="3" s="1"/>
  <c r="C5" i="3"/>
  <c r="D5" i="3"/>
  <c r="E5" i="3"/>
  <c r="F5" i="3"/>
  <c r="F31" i="3" s="1"/>
  <c r="G5" i="3"/>
  <c r="G36" i="3" s="1"/>
  <c r="B6" i="3"/>
  <c r="C6" i="3"/>
  <c r="D6" i="3"/>
  <c r="E6" i="3"/>
  <c r="F6" i="3"/>
  <c r="F35" i="3" s="1"/>
  <c r="G6" i="3"/>
  <c r="N7" i="3"/>
  <c r="N8" i="3"/>
  <c r="N9" i="3"/>
  <c r="N10" i="3"/>
  <c r="N11" i="3"/>
  <c r="N12" i="3"/>
  <c r="N13" i="3"/>
  <c r="N14" i="3"/>
  <c r="N15" i="3"/>
  <c r="N16" i="3"/>
  <c r="B17" i="3"/>
  <c r="C17" i="3"/>
  <c r="D17" i="3"/>
  <c r="E17" i="3"/>
  <c r="F17" i="3"/>
  <c r="G17" i="3"/>
  <c r="N18" i="3"/>
  <c r="N19" i="3"/>
  <c r="N20" i="3"/>
  <c r="N21" i="3"/>
  <c r="N22" i="3"/>
  <c r="N23" i="3"/>
  <c r="N24" i="3"/>
  <c r="N25" i="3"/>
  <c r="N26" i="3"/>
  <c r="N27" i="3"/>
  <c r="N28" i="3"/>
  <c r="N29" i="3"/>
  <c r="B31" i="3"/>
  <c r="H31" i="3"/>
  <c r="I31" i="3"/>
  <c r="J31" i="3"/>
  <c r="K31" i="3"/>
  <c r="L31" i="3"/>
  <c r="M31" i="3"/>
  <c r="C32" i="3"/>
  <c r="H32" i="3"/>
  <c r="I32" i="3"/>
  <c r="J32" i="3"/>
  <c r="K32" i="3"/>
  <c r="L32" i="3"/>
  <c r="M32" i="3"/>
  <c r="C33" i="3"/>
  <c r="H33" i="3"/>
  <c r="I33" i="3"/>
  <c r="J33" i="3"/>
  <c r="K33" i="3"/>
  <c r="L33" i="3"/>
  <c r="M33" i="3"/>
  <c r="B34" i="3"/>
  <c r="C34" i="3"/>
  <c r="D34" i="3"/>
  <c r="E34" i="3"/>
  <c r="F34" i="3"/>
  <c r="G34" i="3"/>
  <c r="H34" i="3"/>
  <c r="I34" i="3"/>
  <c r="J34" i="3"/>
  <c r="K34" i="3"/>
  <c r="L34" i="3"/>
  <c r="M34" i="3"/>
  <c r="B35" i="3"/>
  <c r="C35" i="3"/>
  <c r="E35" i="3"/>
  <c r="G35" i="3"/>
  <c r="H35" i="3"/>
  <c r="I35" i="3"/>
  <c r="J35" i="3"/>
  <c r="K35" i="3"/>
  <c r="L35" i="3"/>
  <c r="H36" i="3"/>
  <c r="I36" i="3"/>
  <c r="J36" i="3"/>
  <c r="K36" i="3"/>
  <c r="L36" i="3"/>
  <c r="M36" i="3"/>
  <c r="B4" i="2"/>
  <c r="C4" i="2"/>
  <c r="D4" i="2"/>
  <c r="D33" i="2" s="1"/>
  <c r="E4" i="2"/>
  <c r="F4" i="2"/>
  <c r="F31" i="2" s="1"/>
  <c r="G4" i="2"/>
  <c r="H4" i="2"/>
  <c r="I4" i="2"/>
  <c r="I36" i="2" s="1"/>
  <c r="J4" i="2"/>
  <c r="K4" i="2"/>
  <c r="L4" i="2"/>
  <c r="L32" i="2" s="1"/>
  <c r="M4" i="2"/>
  <c r="B5" i="2"/>
  <c r="B31" i="2" s="1"/>
  <c r="C5" i="2"/>
  <c r="C36" i="2" s="1"/>
  <c r="D5" i="2"/>
  <c r="E5" i="2"/>
  <c r="E33" i="2" s="1"/>
  <c r="F5" i="2"/>
  <c r="G5" i="2"/>
  <c r="H5" i="2"/>
  <c r="H31" i="2" s="1"/>
  <c r="I5" i="2"/>
  <c r="J5" i="2"/>
  <c r="J36" i="2" s="1"/>
  <c r="K5" i="2"/>
  <c r="L5" i="2"/>
  <c r="M5" i="2"/>
  <c r="M31" i="2" s="1"/>
  <c r="B6" i="2"/>
  <c r="C6" i="2"/>
  <c r="D6" i="2"/>
  <c r="D35" i="2" s="1"/>
  <c r="E6" i="2"/>
  <c r="F6" i="2"/>
  <c r="F35" i="2" s="1"/>
  <c r="G6" i="2"/>
  <c r="G35" i="2" s="1"/>
  <c r="H6" i="2"/>
  <c r="I6" i="2"/>
  <c r="J6" i="2"/>
  <c r="K6" i="2"/>
  <c r="L6" i="2"/>
  <c r="L35" i="2" s="1"/>
  <c r="M6" i="2"/>
  <c r="N7" i="2"/>
  <c r="N8" i="2"/>
  <c r="N9" i="2"/>
  <c r="N10" i="2"/>
  <c r="N11" i="2"/>
  <c r="N12" i="2"/>
  <c r="N13" i="2"/>
  <c r="N14" i="2"/>
  <c r="N15" i="2"/>
  <c r="N16" i="2"/>
  <c r="D17" i="2"/>
  <c r="E17" i="2"/>
  <c r="F17" i="2"/>
  <c r="G17" i="2"/>
  <c r="H17" i="2"/>
  <c r="H35" i="2" s="1"/>
  <c r="I17" i="2"/>
  <c r="J17" i="2"/>
  <c r="J35" i="2" s="1"/>
  <c r="K17" i="2"/>
  <c r="L17" i="2"/>
  <c r="M17" i="2"/>
  <c r="N18" i="2"/>
  <c r="N19" i="2"/>
  <c r="N20" i="2"/>
  <c r="N21" i="2"/>
  <c r="N22" i="2"/>
  <c r="N23" i="2"/>
  <c r="N24" i="2"/>
  <c r="N25" i="2"/>
  <c r="N26" i="2"/>
  <c r="N27" i="2"/>
  <c r="N28" i="2"/>
  <c r="N29" i="2"/>
  <c r="I31" i="2"/>
  <c r="D32" i="2"/>
  <c r="M32" i="2"/>
  <c r="H33" i="2"/>
  <c r="B34" i="2"/>
  <c r="C34" i="2"/>
  <c r="D34" i="2"/>
  <c r="E34" i="2"/>
  <c r="F34" i="2"/>
  <c r="G34" i="2"/>
  <c r="H34" i="2"/>
  <c r="I34" i="2"/>
  <c r="J34" i="2"/>
  <c r="K34" i="2"/>
  <c r="L34" i="2"/>
  <c r="M34" i="2"/>
  <c r="B35" i="2"/>
  <c r="E35" i="2"/>
  <c r="I35" i="2"/>
  <c r="M35" i="2"/>
  <c r="L36" i="2"/>
  <c r="L4" i="1"/>
  <c r="L36" i="1" s="1"/>
  <c r="L5" i="1"/>
  <c r="N5" i="1" s="1"/>
  <c r="L6" i="1"/>
  <c r="N6" i="1" s="1"/>
  <c r="N7" i="1"/>
  <c r="N8" i="1"/>
  <c r="N9" i="1"/>
  <c r="N10" i="1"/>
  <c r="N11" i="1"/>
  <c r="N12" i="1"/>
  <c r="N13" i="1"/>
  <c r="N14" i="1"/>
  <c r="N15" i="1"/>
  <c r="N16" i="1"/>
  <c r="L17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B31" i="1"/>
  <c r="C31" i="1"/>
  <c r="D31" i="1"/>
  <c r="E31" i="1"/>
  <c r="F31" i="1"/>
  <c r="G31" i="1"/>
  <c r="H31" i="1"/>
  <c r="I31" i="1"/>
  <c r="J31" i="1"/>
  <c r="K31" i="1"/>
  <c r="M31" i="1"/>
  <c r="B32" i="1"/>
  <c r="C32" i="1"/>
  <c r="D32" i="1"/>
  <c r="E32" i="1"/>
  <c r="F32" i="1"/>
  <c r="G32" i="1"/>
  <c r="H32" i="1"/>
  <c r="I32" i="1"/>
  <c r="J32" i="1"/>
  <c r="K32" i="1"/>
  <c r="M32" i="1"/>
  <c r="B33" i="1"/>
  <c r="C33" i="1"/>
  <c r="D33" i="1"/>
  <c r="E33" i="1"/>
  <c r="F33" i="1"/>
  <c r="G33" i="1"/>
  <c r="H33" i="1"/>
  <c r="I33" i="1"/>
  <c r="J33" i="1"/>
  <c r="K33" i="1"/>
  <c r="M33" i="1"/>
  <c r="B34" i="1"/>
  <c r="C34" i="1"/>
  <c r="D34" i="1"/>
  <c r="E34" i="1"/>
  <c r="F34" i="1"/>
  <c r="G34" i="1"/>
  <c r="H34" i="1"/>
  <c r="I34" i="1"/>
  <c r="J34" i="1"/>
  <c r="K34" i="1"/>
  <c r="L34" i="1"/>
  <c r="M34" i="1"/>
  <c r="B35" i="1"/>
  <c r="C35" i="1"/>
  <c r="D35" i="1"/>
  <c r="E35" i="1"/>
  <c r="F35" i="1"/>
  <c r="G35" i="1"/>
  <c r="H35" i="1"/>
  <c r="I35" i="1"/>
  <c r="J35" i="1"/>
  <c r="K35" i="1"/>
  <c r="B36" i="1"/>
  <c r="C36" i="1"/>
  <c r="D36" i="1"/>
  <c r="E36" i="1"/>
  <c r="F36" i="1"/>
  <c r="G36" i="1"/>
  <c r="H36" i="1"/>
  <c r="I36" i="1"/>
  <c r="J36" i="1"/>
  <c r="K36" i="1"/>
  <c r="M36" i="1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B31" i="5"/>
  <c r="C31" i="5"/>
  <c r="D31" i="5"/>
  <c r="E31" i="5"/>
  <c r="F31" i="5"/>
  <c r="G31" i="5"/>
  <c r="H31" i="5"/>
  <c r="I31" i="5"/>
  <c r="J31" i="5"/>
  <c r="K31" i="5"/>
  <c r="L31" i="5"/>
  <c r="M31" i="5"/>
  <c r="B32" i="5"/>
  <c r="C32" i="5"/>
  <c r="D32" i="5"/>
  <c r="E32" i="5"/>
  <c r="F32" i="5"/>
  <c r="G32" i="5"/>
  <c r="H32" i="5"/>
  <c r="I32" i="5"/>
  <c r="J32" i="5"/>
  <c r="K32" i="5"/>
  <c r="L32" i="5"/>
  <c r="M32" i="5"/>
  <c r="B33" i="5"/>
  <c r="N33" i="5" s="1"/>
  <c r="C33" i="5"/>
  <c r="D33" i="5"/>
  <c r="E33" i="5"/>
  <c r="F33" i="5"/>
  <c r="G33" i="5"/>
  <c r="H33" i="5"/>
  <c r="I33" i="5"/>
  <c r="J33" i="5"/>
  <c r="K33" i="5"/>
  <c r="L33" i="5"/>
  <c r="M33" i="5"/>
  <c r="B34" i="5"/>
  <c r="C34" i="5"/>
  <c r="D34" i="5"/>
  <c r="E34" i="5"/>
  <c r="F34" i="5"/>
  <c r="G34" i="5"/>
  <c r="H34" i="5"/>
  <c r="I34" i="5"/>
  <c r="J34" i="5"/>
  <c r="K34" i="5"/>
  <c r="L34" i="5"/>
  <c r="M34" i="5"/>
  <c r="B35" i="5"/>
  <c r="C35" i="5"/>
  <c r="D35" i="5"/>
  <c r="E35" i="5"/>
  <c r="F35" i="5"/>
  <c r="G35" i="5"/>
  <c r="H35" i="5"/>
  <c r="I35" i="5"/>
  <c r="J35" i="5"/>
  <c r="K35" i="5"/>
  <c r="L35" i="5"/>
  <c r="M35" i="5"/>
  <c r="B36" i="5"/>
  <c r="C36" i="5"/>
  <c r="D36" i="5"/>
  <c r="E36" i="5"/>
  <c r="F36" i="5"/>
  <c r="G36" i="5"/>
  <c r="H36" i="5"/>
  <c r="I36" i="5"/>
  <c r="J36" i="5"/>
  <c r="K36" i="5"/>
  <c r="L36" i="5"/>
  <c r="M36" i="5"/>
  <c r="B50" i="17"/>
  <c r="B49" i="17"/>
  <c r="B48" i="17"/>
  <c r="F4" i="23"/>
  <c r="N59" i="22"/>
  <c r="N69" i="26"/>
  <c r="K57" i="26"/>
  <c r="N59" i="26"/>
  <c r="K62" i="26"/>
  <c r="N70" i="26"/>
  <c r="N60" i="26"/>
  <c r="K61" i="26"/>
  <c r="N61" i="26"/>
  <c r="N64" i="26"/>
  <c r="N29" i="27"/>
  <c r="G52" i="27"/>
  <c r="N4" i="1" l="1"/>
  <c r="N36" i="1" s="1"/>
  <c r="E36" i="2"/>
  <c r="M33" i="2"/>
  <c r="I32" i="2"/>
  <c r="E31" i="2"/>
  <c r="K36" i="2"/>
  <c r="N31" i="4"/>
  <c r="E2" i="18" s="1"/>
  <c r="G35" i="12"/>
  <c r="G34" i="12"/>
  <c r="I34" i="12"/>
  <c r="N34" i="14"/>
  <c r="N53" i="22"/>
  <c r="F14" i="25"/>
  <c r="N62" i="19"/>
  <c r="N63" i="19"/>
  <c r="N66" i="17"/>
  <c r="N35" i="4"/>
  <c r="E3" i="18" s="1"/>
  <c r="F35" i="12"/>
  <c r="J37" i="12"/>
  <c r="N47" i="17"/>
  <c r="N74" i="20"/>
  <c r="N78" i="20"/>
  <c r="N75" i="20"/>
  <c r="N55" i="15"/>
  <c r="D36" i="2"/>
  <c r="L33" i="2"/>
  <c r="H32" i="2"/>
  <c r="D31" i="2"/>
  <c r="L35" i="1"/>
  <c r="N35" i="1" s="1"/>
  <c r="B3" i="18" s="1"/>
  <c r="L33" i="1"/>
  <c r="N33" i="1"/>
  <c r="L31" i="1"/>
  <c r="M36" i="2"/>
  <c r="B36" i="2"/>
  <c r="I33" i="2"/>
  <c r="E32" i="2"/>
  <c r="G33" i="3"/>
  <c r="G32" i="3"/>
  <c r="G31" i="3"/>
  <c r="N31" i="7"/>
  <c r="F2" i="18" s="1"/>
  <c r="I38" i="12"/>
  <c r="N38" i="13"/>
  <c r="N42" i="15"/>
  <c r="J2" i="18" s="1"/>
  <c r="N61" i="21"/>
  <c r="N60" i="21"/>
  <c r="N3" i="18" s="1"/>
  <c r="C16" i="25"/>
  <c r="N71" i="21"/>
  <c r="N65" i="21"/>
  <c r="N53" i="15"/>
  <c r="F11" i="25"/>
  <c r="N67" i="22"/>
  <c r="N69" i="22"/>
  <c r="D35" i="3"/>
  <c r="K35" i="2"/>
  <c r="N6" i="2"/>
  <c r="N5" i="2"/>
  <c r="F34" i="12"/>
  <c r="F37" i="12"/>
  <c r="K35" i="12"/>
  <c r="N67" i="20"/>
  <c r="N56" i="21"/>
  <c r="E16" i="23"/>
  <c r="N70" i="22"/>
  <c r="N66" i="19"/>
  <c r="N64" i="19"/>
  <c r="N61" i="17"/>
  <c r="N60" i="17"/>
  <c r="L31" i="2"/>
  <c r="J31" i="2"/>
  <c r="B32" i="2"/>
  <c r="N48" i="19"/>
  <c r="L2" i="18" s="1"/>
  <c r="N77" i="20"/>
  <c r="N73" i="20"/>
  <c r="N54" i="15"/>
  <c r="N51" i="15"/>
  <c r="H36" i="2"/>
  <c r="N4" i="3"/>
  <c r="N35" i="13"/>
  <c r="N44" i="15"/>
  <c r="N67" i="21"/>
  <c r="L32" i="1"/>
  <c r="F36" i="2"/>
  <c r="N35" i="3"/>
  <c r="D3" i="18" s="1"/>
  <c r="D31" i="3"/>
  <c r="J34" i="12"/>
  <c r="H34" i="12"/>
  <c r="N39" i="14"/>
  <c r="N45" i="15"/>
  <c r="J3" i="18" s="1"/>
  <c r="N25" i="17"/>
  <c r="N49" i="17" s="1"/>
  <c r="F9" i="23"/>
  <c r="N64" i="17"/>
  <c r="N31" i="5"/>
  <c r="K32" i="2"/>
  <c r="G31" i="2"/>
  <c r="N35" i="5"/>
  <c r="G36" i="2"/>
  <c r="C35" i="2"/>
  <c r="N34" i="2"/>
  <c r="C33" i="2"/>
  <c r="N50" i="19"/>
  <c r="N65" i="20"/>
  <c r="N66" i="20"/>
  <c r="M3" i="18" s="1"/>
  <c r="N46" i="17"/>
  <c r="N46" i="19"/>
  <c r="N51" i="19"/>
  <c r="L3" i="18" s="1"/>
  <c r="N61" i="20"/>
  <c r="N62" i="20"/>
  <c r="N63" i="20"/>
  <c r="M2" i="18" s="1"/>
  <c r="N64" i="20"/>
  <c r="E16" i="25"/>
  <c r="F16" i="25" s="1"/>
  <c r="N65" i="22"/>
  <c r="N66" i="22"/>
  <c r="N68" i="22"/>
  <c r="N50" i="15"/>
  <c r="G62" i="26"/>
  <c r="N72" i="26"/>
  <c r="N74" i="26"/>
  <c r="N43" i="15"/>
  <c r="K33" i="2"/>
  <c r="G32" i="2"/>
  <c r="K31" i="2"/>
  <c r="F36" i="3"/>
  <c r="F32" i="3"/>
  <c r="B32" i="3"/>
  <c r="N34" i="4"/>
  <c r="N31" i="11"/>
  <c r="G2" i="18" s="1"/>
  <c r="E38" i="12"/>
  <c r="E35" i="12"/>
  <c r="J33" i="12"/>
  <c r="N37" i="14"/>
  <c r="N34" i="5"/>
  <c r="N34" i="1"/>
  <c r="N32" i="1"/>
  <c r="N31" i="1"/>
  <c r="B2" i="18" s="1"/>
  <c r="J33" i="2"/>
  <c r="F33" i="2"/>
  <c r="B33" i="2"/>
  <c r="J32" i="2"/>
  <c r="F32" i="2"/>
  <c r="N17" i="2"/>
  <c r="E36" i="3"/>
  <c r="N34" i="3"/>
  <c r="E33" i="3"/>
  <c r="E32" i="3"/>
  <c r="E31" i="3"/>
  <c r="N35" i="11"/>
  <c r="G3" i="18" s="1"/>
  <c r="N34" i="11"/>
  <c r="N33" i="11"/>
  <c r="N32" i="11"/>
  <c r="H38" i="12"/>
  <c r="N37" i="12"/>
  <c r="H3" i="18" s="1"/>
  <c r="H35" i="12"/>
  <c r="E34" i="12"/>
  <c r="N34" i="12" s="1"/>
  <c r="N6" i="12"/>
  <c r="O6" i="12" s="1"/>
  <c r="H33" i="12"/>
  <c r="N37" i="13"/>
  <c r="I3" i="18" s="1"/>
  <c r="N33" i="13"/>
  <c r="N35" i="14"/>
  <c r="B51" i="17"/>
  <c r="N49" i="19"/>
  <c r="N60" i="22"/>
  <c r="O3" i="18" s="1"/>
  <c r="N58" i="22"/>
  <c r="N63" i="17"/>
  <c r="G60" i="26"/>
  <c r="G64" i="26"/>
  <c r="N4" i="2"/>
  <c r="N32" i="4"/>
  <c r="N35" i="2"/>
  <c r="C3" i="18" s="1"/>
  <c r="G33" i="2"/>
  <c r="C32" i="2"/>
  <c r="N32" i="2" s="1"/>
  <c r="C31" i="2"/>
  <c r="N31" i="2" s="1"/>
  <c r="C2" i="18" s="1"/>
  <c r="B36" i="3"/>
  <c r="F33" i="3"/>
  <c r="N17" i="3"/>
  <c r="N32" i="7"/>
  <c r="N36" i="13"/>
  <c r="N34" i="13"/>
  <c r="N55" i="21"/>
  <c r="N32" i="5"/>
  <c r="N36" i="5"/>
  <c r="D36" i="3"/>
  <c r="D33" i="3"/>
  <c r="D32" i="3"/>
  <c r="N6" i="3"/>
  <c r="N5" i="3"/>
  <c r="N33" i="4"/>
  <c r="N34" i="7"/>
  <c r="N33" i="7"/>
  <c r="K38" i="12"/>
  <c r="I33" i="12"/>
  <c r="N36" i="14"/>
  <c r="N65" i="17"/>
  <c r="N52" i="19"/>
  <c r="N57" i="21"/>
  <c r="N2" i="18" s="1"/>
  <c r="N55" i="22"/>
  <c r="N58" i="21"/>
  <c r="N52" i="15"/>
  <c r="G57" i="26"/>
  <c r="G63" i="26"/>
  <c r="N71" i="26"/>
  <c r="N73" i="26"/>
  <c r="N75" i="26"/>
  <c r="C16" i="23"/>
  <c r="F12" i="23"/>
  <c r="F3" i="23"/>
  <c r="F13" i="23"/>
  <c r="N36" i="2"/>
  <c r="N36" i="3"/>
  <c r="C31" i="3"/>
  <c r="N17" i="12"/>
  <c r="O17" i="12" s="1"/>
  <c r="N5" i="12"/>
  <c r="O5" i="12" s="1"/>
  <c r="I2" i="18"/>
  <c r="O53" i="22"/>
  <c r="N4" i="12"/>
  <c r="F33" i="12"/>
  <c r="F14" i="23"/>
  <c r="F6" i="23"/>
  <c r="F4" i="24"/>
  <c r="F8" i="24"/>
  <c r="F12" i="24"/>
  <c r="E3" i="24"/>
  <c r="F14" i="24"/>
  <c r="F11" i="24"/>
  <c r="F7" i="24"/>
  <c r="F4" i="25"/>
  <c r="F5" i="25"/>
  <c r="F6" i="25"/>
  <c r="F7" i="25"/>
  <c r="N57" i="22"/>
  <c r="O2" i="18" s="1"/>
  <c r="N9" i="26"/>
  <c r="F5" i="23"/>
  <c r="F13" i="24"/>
  <c r="F9" i="24"/>
  <c r="F5" i="24"/>
  <c r="N69" i="27"/>
  <c r="N67" i="27"/>
  <c r="N52" i="27"/>
  <c r="N70" i="27"/>
  <c r="N68" i="27"/>
  <c r="N65" i="27"/>
  <c r="N64" i="27"/>
  <c r="C16" i="24"/>
  <c r="N54" i="27"/>
  <c r="F8" i="23"/>
  <c r="N55" i="27"/>
  <c r="N57" i="27"/>
  <c r="N59" i="27"/>
  <c r="N58" i="27"/>
  <c r="N56" i="27"/>
  <c r="F16" i="23"/>
  <c r="F11" i="23"/>
  <c r="F6" i="24"/>
  <c r="F10" i="24"/>
  <c r="F3" i="25"/>
  <c r="F12" i="25"/>
  <c r="F13" i="25"/>
  <c r="F7" i="23"/>
  <c r="N32" i="3" l="1"/>
  <c r="N31" i="3"/>
  <c r="D2" i="18" s="1"/>
  <c r="N51" i="17"/>
  <c r="N35" i="12"/>
  <c r="N33" i="3"/>
  <c r="N50" i="17"/>
  <c r="K3" i="18" s="1"/>
  <c r="N48" i="17"/>
  <c r="N33" i="12"/>
  <c r="H2" i="18" s="1"/>
  <c r="N33" i="2"/>
  <c r="F3" i="24"/>
  <c r="E16" i="24"/>
  <c r="F16" i="24" s="1"/>
  <c r="N63" i="26"/>
  <c r="N57" i="26"/>
  <c r="N62" i="26"/>
  <c r="N38" i="12"/>
  <c r="O4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Christine Lyons</author>
  </authors>
  <commentList>
    <comment ref="I4" authorId="0" shapeId="0" xr:uid="{FF1C3C47-BC1D-4AF9-82F2-2CB2294BB731}">
      <text>
        <r>
          <rPr>
            <sz val="9"/>
            <color indexed="81"/>
            <rFont val="Tahoma"/>
            <family val="2"/>
          </rPr>
          <t>New fare category</t>
        </r>
      </text>
    </comment>
    <comment ref="I5" authorId="0" shapeId="0" xr:uid="{E62697B9-EDDF-4167-9D89-8A82ACA55841}">
      <text>
        <r>
          <rPr>
            <sz val="9"/>
            <color indexed="81"/>
            <rFont val="Tahoma"/>
            <family val="2"/>
          </rPr>
          <t>New fare category</t>
        </r>
      </text>
    </comment>
    <comment ref="I6" authorId="0" shapeId="0" xr:uid="{90A857DC-A4F3-49EC-94E6-F021C8F2F88D}">
      <text>
        <r>
          <rPr>
            <sz val="9"/>
            <color indexed="81"/>
            <rFont val="Tahoma"/>
            <family val="2"/>
          </rPr>
          <t>New fare category</t>
        </r>
      </text>
    </comment>
    <comment ref="I7" authorId="0" shapeId="0" xr:uid="{1265FE2B-F938-4CEA-8F85-B2BEF102F77F}">
      <text>
        <r>
          <rPr>
            <sz val="9"/>
            <color indexed="81"/>
            <rFont val="Tahoma"/>
            <family val="2"/>
          </rPr>
          <t>New fare category</t>
        </r>
      </text>
    </comment>
    <comment ref="I8" authorId="0" shapeId="0" xr:uid="{E636B8B6-4B92-4848-9EE1-0A9F2FDF56E5}">
      <text>
        <r>
          <rPr>
            <sz val="9"/>
            <color indexed="81"/>
            <rFont val="Tahoma"/>
            <family val="2"/>
          </rPr>
          <t>New fare category</t>
        </r>
      </text>
    </comment>
    <comment ref="I9" authorId="0" shapeId="0" xr:uid="{6C43E567-E3BD-4854-813E-59714E83B323}">
      <text>
        <r>
          <rPr>
            <sz val="9"/>
            <color indexed="81"/>
            <rFont val="Tahoma"/>
            <family val="2"/>
          </rPr>
          <t>New fare category</t>
        </r>
      </text>
    </comment>
    <comment ref="I10" authorId="0" shapeId="0" xr:uid="{5257FCCC-E7C4-4EBE-B0F5-0EBBF53635AE}">
      <text>
        <r>
          <rPr>
            <sz val="9"/>
            <color indexed="81"/>
            <rFont val="Tahoma"/>
            <family val="2"/>
          </rPr>
          <t>New fare category</t>
        </r>
      </text>
    </comment>
    <comment ref="I11" authorId="0" shapeId="0" xr:uid="{4E6C8AF7-755A-488B-925E-0CA8B5A62F78}">
      <text>
        <r>
          <rPr>
            <sz val="9"/>
            <color indexed="81"/>
            <rFont val="Tahoma"/>
            <family val="2"/>
          </rPr>
          <t>New fare category</t>
        </r>
      </text>
    </comment>
    <comment ref="I12" authorId="0" shapeId="0" xr:uid="{94280CA5-027A-41EE-AF64-FBB80C031576}">
      <text>
        <r>
          <rPr>
            <sz val="9"/>
            <color indexed="81"/>
            <rFont val="Tahoma"/>
            <family val="2"/>
          </rPr>
          <t>New fare category</t>
        </r>
      </text>
    </comment>
    <comment ref="I13" authorId="0" shapeId="0" xr:uid="{D906686C-D8AF-44BB-8BF8-7E31B48AE213}">
      <text>
        <r>
          <rPr>
            <sz val="9"/>
            <color indexed="81"/>
            <rFont val="Tahoma"/>
            <family val="2"/>
          </rPr>
          <t>Discontinued</t>
        </r>
      </text>
    </comment>
    <comment ref="I14" authorId="0" shapeId="0" xr:uid="{69DB0124-4847-4E38-AA22-6721CECEB082}">
      <text>
        <r>
          <rPr>
            <sz val="9"/>
            <color indexed="81"/>
            <rFont val="Tahoma"/>
            <family val="2"/>
          </rPr>
          <t>Discontinued</t>
        </r>
      </text>
    </comment>
    <comment ref="I18" authorId="0" shapeId="0" xr:uid="{0EE03F86-F23D-4ED6-943B-4CF4DE3AE553}">
      <text>
        <r>
          <rPr>
            <sz val="9"/>
            <color indexed="81"/>
            <rFont val="Tahoma"/>
            <family val="2"/>
          </rPr>
          <t>Discontinued</t>
        </r>
      </text>
    </comment>
    <comment ref="I28" authorId="0" shapeId="0" xr:uid="{010C57BE-9649-4FFA-B390-B6F7695E8B17}">
      <text>
        <r>
          <rPr>
            <sz val="9"/>
            <color indexed="81"/>
            <rFont val="Tahoma"/>
            <family val="2"/>
          </rPr>
          <t>Discontinued</t>
        </r>
      </text>
    </comment>
    <comment ref="I31" authorId="0" shapeId="0" xr:uid="{5AE51780-D53B-43C5-90BC-420C7C863139}">
      <text>
        <r>
          <rPr>
            <sz val="9"/>
            <color indexed="81"/>
            <rFont val="Tahoma"/>
            <family val="2"/>
          </rPr>
          <t>Discontinued</t>
        </r>
      </text>
    </comment>
    <comment ref="I37" authorId="0" shapeId="0" xr:uid="{2C20CD49-3021-47B7-A3B1-3078F6869E36}">
      <text>
        <r>
          <rPr>
            <sz val="9"/>
            <color indexed="81"/>
            <rFont val="Tahoma"/>
            <family val="2"/>
          </rPr>
          <t>Discontinued</t>
        </r>
      </text>
    </comment>
    <comment ref="I38" authorId="0" shapeId="0" xr:uid="{894F7F22-F796-4056-BB9E-D439B795BFFF}">
      <text>
        <r>
          <rPr>
            <sz val="9"/>
            <color indexed="81"/>
            <rFont val="Tahoma"/>
            <family val="2"/>
          </rPr>
          <t>Discontinued</t>
        </r>
      </text>
    </comment>
    <comment ref="I42" authorId="0" shapeId="0" xr:uid="{8644B6F8-2CBF-49CE-9969-7566A87A6C7C}">
      <text>
        <r>
          <rPr>
            <sz val="9"/>
            <color indexed="81"/>
            <rFont val="Tahoma"/>
            <family val="2"/>
          </rPr>
          <t>Discontinued</t>
        </r>
      </text>
    </comment>
    <comment ref="I43" authorId="0" shapeId="0" xr:uid="{7C504207-EC7E-42C1-87EC-F2F30D8B3FAF}">
      <text>
        <r>
          <rPr>
            <sz val="9"/>
            <color indexed="81"/>
            <rFont val="Tahoma"/>
            <family val="2"/>
          </rPr>
          <t>Discontinued</t>
        </r>
      </text>
    </comment>
    <comment ref="I44" authorId="0" shapeId="0" xr:uid="{15E0C6B3-509C-4E89-959E-0101911CAF0A}">
      <text>
        <r>
          <rPr>
            <sz val="9"/>
            <color indexed="81"/>
            <rFont val="Tahoma"/>
            <family val="2"/>
          </rPr>
          <t>Discontinued</t>
        </r>
      </text>
    </comment>
    <comment ref="I47" authorId="0" shapeId="0" xr:uid="{EE90DF60-8F32-43D3-A852-F2539B7555B1}">
      <text>
        <r>
          <rPr>
            <sz val="9"/>
            <color indexed="81"/>
            <rFont val="Tahoma"/>
            <family val="2"/>
          </rPr>
          <t>Discontinued</t>
        </r>
      </text>
    </comment>
    <comment ref="I48" authorId="0" shapeId="0" xr:uid="{9097E53C-DB1B-4090-B77C-051F00A9DD81}">
      <text>
        <r>
          <rPr>
            <sz val="9"/>
            <color indexed="81"/>
            <rFont val="Tahoma"/>
            <family val="2"/>
          </rPr>
          <t>Discontinued</t>
        </r>
      </text>
    </comment>
    <comment ref="I51" authorId="0" shapeId="0" xr:uid="{55AA07C2-609A-4C98-80B3-B597DECA5005}">
      <text>
        <r>
          <rPr>
            <sz val="9"/>
            <color indexed="81"/>
            <rFont val="Tahoma"/>
            <family val="2"/>
          </rPr>
          <t>Discontinued</t>
        </r>
      </text>
    </comment>
    <comment ref="I52" authorId="0" shapeId="0" xr:uid="{1C853F16-DDDE-4DA1-82E7-6A88A067B589}">
      <text>
        <r>
          <rPr>
            <sz val="9"/>
            <color indexed="81"/>
            <rFont val="Tahoma"/>
            <family val="2"/>
          </rPr>
          <t>Discontinued</t>
        </r>
      </text>
    </comment>
    <comment ref="I55" authorId="0" shapeId="0" xr:uid="{4F278228-39D9-415F-B35A-A4A653048BDB}">
      <text>
        <r>
          <rPr>
            <sz val="9"/>
            <color indexed="81"/>
            <rFont val="Tahoma"/>
            <family val="2"/>
          </rPr>
          <t>Discontinued</t>
        </r>
      </text>
    </comment>
    <comment ref="I56" authorId="0" shapeId="0" xr:uid="{7F0B01D7-A183-4C65-8920-48D378B403ED}">
      <text>
        <r>
          <rPr>
            <sz val="9"/>
            <color indexed="81"/>
            <rFont val="Tahoma"/>
            <family val="2"/>
          </rPr>
          <t>Discontinued</t>
        </r>
      </text>
    </comment>
    <comment ref="I59" authorId="0" shapeId="0" xr:uid="{FE1ABE57-9272-42ED-B4DD-5C4B39EA0BF9}">
      <text>
        <r>
          <rPr>
            <sz val="9"/>
            <color indexed="81"/>
            <rFont val="Tahoma"/>
            <family val="2"/>
          </rPr>
          <t>Discontinued</t>
        </r>
      </text>
    </comment>
    <comment ref="I60" authorId="0" shapeId="0" xr:uid="{DB47F74E-6905-4ADD-AE13-6ABC8047BF54}">
      <text>
        <r>
          <rPr>
            <sz val="9"/>
            <color indexed="81"/>
            <rFont val="Tahoma"/>
            <family val="2"/>
          </rPr>
          <t>Discontinued</t>
        </r>
      </text>
    </comment>
    <comment ref="I61" authorId="0" shapeId="0" xr:uid="{7743BF2C-A68A-40F8-953E-767CB73C9A3C}">
      <text>
        <r>
          <rPr>
            <sz val="9"/>
            <color indexed="81"/>
            <rFont val="Tahoma"/>
            <family val="2"/>
          </rPr>
          <t>Discontinued</t>
        </r>
      </text>
    </comment>
    <comment ref="I63" authorId="0" shapeId="0" xr:uid="{7AA041EE-3F71-4553-BBF7-0E34469F3AE3}">
      <text>
        <r>
          <rPr>
            <sz val="9"/>
            <color indexed="81"/>
            <rFont val="Tahoma"/>
            <family val="2"/>
          </rPr>
          <t>New fare category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jimm</author>
  </authors>
  <commentList>
    <comment ref="K3" authorId="0" shapeId="0" xr:uid="{00000000-0006-0000-1400-000001000000}">
      <text>
        <r>
          <rPr>
            <b/>
            <sz val="8"/>
            <color indexed="81"/>
            <rFont val="Tahoma"/>
            <family val="2"/>
          </rPr>
          <t>jimm:</t>
        </r>
        <r>
          <rPr>
            <sz val="8"/>
            <color indexed="81"/>
            <rFont val="Tahoma"/>
            <family val="2"/>
          </rPr>
          <t xml:space="preserve">
Ferry out of service for haul-out and new engines.  Passenger only service used.  </t>
        </r>
      </text>
    </comment>
  </commentList>
</comments>
</file>

<file path=xl/sharedStrings.xml><?xml version="1.0" encoding="utf-8"?>
<sst xmlns="http://schemas.openxmlformats.org/spreadsheetml/2006/main" count="1984" uniqueCount="226">
  <si>
    <t>FERRY TOTALS 1997</t>
  </si>
  <si>
    <t xml:space="preserve"> </t>
  </si>
  <si>
    <t>13 C &amp; D TICKET</t>
  </si>
  <si>
    <t>25 C &amp; D TICKET</t>
  </si>
  <si>
    <t>ADULT COMM TICKET</t>
  </si>
  <si>
    <t>ADULT PASSENGER</t>
  </si>
  <si>
    <t>CHILD PASSENGER</t>
  </si>
  <si>
    <t>CAR &amp; DRIVER</t>
  </si>
  <si>
    <t>LOGGING TRUCK</t>
  </si>
  <si>
    <t>MISC SPECIALS</t>
  </si>
  <si>
    <t>MOTORCYCLE</t>
  </si>
  <si>
    <t>MONTHLY TRIP CHARGE</t>
  </si>
  <si>
    <t>OVERAGE</t>
  </si>
  <si>
    <t>SCHOOL CHILD</t>
  </si>
  <si>
    <t>SURCHARGE</t>
  </si>
  <si>
    <t>STUDENT COMMUTER</t>
  </si>
  <si>
    <t>TRAILER &lt; 12</t>
  </si>
  <si>
    <t>TRAILER 13&lt;20</t>
  </si>
  <si>
    <t>TRUCK 20 &lt; 25</t>
  </si>
  <si>
    <t>TRUCK 25 &lt; 30</t>
  </si>
  <si>
    <t>TRUCK 30 &lt; 35</t>
  </si>
  <si>
    <t>TRUCK 35 &lt; 45</t>
  </si>
  <si>
    <t>TRUCK 45 &lt; 55</t>
  </si>
  <si>
    <t>TRUCK 55 &lt; 65</t>
  </si>
  <si>
    <t>TRAILER OVER 20</t>
  </si>
  <si>
    <t>TRUCK OVER 65</t>
  </si>
  <si>
    <t>TRIPS</t>
  </si>
  <si>
    <t>UNDER AGE 6</t>
  </si>
  <si>
    <t># OF PASSENGERS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</si>
  <si>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</si>
  <si>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</si>
  <si>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</si>
  <si>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</si>
  <si>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</si>
  <si>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</si>
  <si>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</si>
  <si>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</si>
  <si>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</si>
  <si>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</si>
  <si>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</si>
  <si>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</si>
  <si>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TOTAL</t>
  </si>
  <si>
    <t>FERRY TOTALS 1998</t>
  </si>
  <si>
    <t>FERRY TOTALS 1999</t>
  </si>
  <si>
    <t>FERRY TOTALS 2000</t>
  </si>
  <si>
    <t>FERRY TOTALS 1996</t>
  </si>
  <si>
    <t># OF TICKETS SOLD</t>
  </si>
  <si>
    <t># of Cars is total of 13 C &amp; D, 25 C &amp; D, C &amp; D, Logging Truck, Misc. Special, Truck 20 &lt; 25, Truck 25 &lt; 30, Truck 30 &lt; 35, Truck 35 &lt; 45, Truck 45 &lt; 55, Truck 55 &lt; 65, Truck Over 65</t>
  </si>
  <si>
    <t># of Passengers is total of 13 C &amp; D, 25 C &amp; D, Adult Commuter, Adult Passenger, Child Passenger, C &amp; D, Logging Truck, Misc. Special, Motorcycle, School Child, Student Commuter, Truck 20 &lt; 25, Truck 25 &lt; 30, Truck 30 &lt; 35, Truck 35 &lt; 45, Truck 45 &lt; 55, Truck 55 &lt; 65, Truck Over 65, Under Age 6</t>
  </si>
  <si>
    <t># of Non Pays is total of School Child and Under Age 6</t>
  </si>
  <si>
    <t># OF VEHICLES</t>
  </si>
  <si>
    <t># OF NON PAY PASSENGERS</t>
  </si>
  <si>
    <t># OF PASSENGERS/WALK ON</t>
  </si>
  <si>
    <t># of Tickets Sold is total of 13 C &amp; D, 25 C &amp; D, Adult Commuter, Adult Passenget, Child Passenger, C &amp; D, Logging Truck, Misc. Special, Motorcycle, Student Commuter, Trailer &lt; 12, Trailer 13 &lt; 20, Truck 20 &lt; 25, Truck 25 &lt; 30, Truck 30 &lt; 35, Truck 35 &lt; 45, Truck 45 &lt; 55, Truck 55 &lt; 65, Trailer Over 20, Truck Over 65</t>
  </si>
  <si>
    <t># OF C&amp;D PUNCH CARD USERS</t>
  </si>
  <si>
    <t># OF PASSENGER PUNCH CARD USERS</t>
  </si>
  <si>
    <t>10 C &amp; D TICKET</t>
  </si>
  <si>
    <t>20 C &amp; D TICKET</t>
  </si>
  <si>
    <t>10 TRIP MOTORCYCLE</t>
  </si>
  <si>
    <t>20 TRIP MOTORCYCLE</t>
  </si>
  <si>
    <t>ADULT COMMUTER</t>
  </si>
  <si>
    <t>BICYCLES</t>
  </si>
  <si>
    <t>MISC</t>
  </si>
  <si>
    <t>MOTORCYCLES</t>
  </si>
  <si>
    <t>SENIOR/DISABLED PASSENGER</t>
  </si>
  <si>
    <t>TRUCKS &lt; 25</t>
  </si>
  <si>
    <t>TRUCKS &lt; 30</t>
  </si>
  <si>
    <t>TRUCKS &lt; 35</t>
  </si>
  <si>
    <t>TRUCKS &lt; 40</t>
  </si>
  <si>
    <t>TRUCKS &lt; 45</t>
  </si>
  <si>
    <t>TRUCKS &lt; 50</t>
  </si>
  <si>
    <t>TRUCKS &lt; 55</t>
  </si>
  <si>
    <t>TRUCKS &lt; 60</t>
  </si>
  <si>
    <t>TRUCKS &lt; 65</t>
  </si>
  <si>
    <t># OF C&amp;D BOOK USERS</t>
  </si>
  <si>
    <t>C &amp; D</t>
  </si>
  <si>
    <t>SENIOR/DISABLED VEHICLE</t>
  </si>
  <si>
    <t>TRCH Monthly Trip Charge</t>
  </si>
  <si>
    <t>Logging Truck</t>
  </si>
  <si>
    <t>3 MONTH C&amp;D</t>
  </si>
  <si>
    <t>3 MONTH COMMUTER</t>
  </si>
  <si>
    <t>3 MONTH SENIOR/DISABLED C&amp;D</t>
  </si>
  <si>
    <t>6 MONTH C&amp;D</t>
  </si>
  <si>
    <t>6 MONTH COMMUTER</t>
  </si>
  <si>
    <t>6 MONTH SENIOR/DISABLED C&amp;D</t>
  </si>
  <si>
    <t>SENIOR ANNUAL PASS</t>
  </si>
  <si>
    <t># OF C&amp;D FREQ USER PASS USERS</t>
  </si>
  <si>
    <t># OF PASSENGER FREQ USER PASS USERS</t>
  </si>
  <si>
    <t>SENIOR/DISABLED/YOUTH WITH BIKE</t>
  </si>
  <si>
    <t>TRUCKS W/TRAILER &lt;12</t>
  </si>
  <si>
    <t>YOUTH/SENIOR/DISABLED PASSENGER</t>
  </si>
  <si>
    <t>STOWAGE</t>
  </si>
  <si>
    <t>3 MONTH MOTORCYCLE</t>
  </si>
  <si>
    <t>6 MONTH MOTORCYCLE</t>
  </si>
  <si>
    <t>MOTORCYCLE/TRAILER</t>
  </si>
  <si>
    <t>FERRY TICKET SALES 2006</t>
  </si>
  <si>
    <t>FERRY TICKET SALES 2001</t>
  </si>
  <si>
    <t>FERRY TICKET SALES 2002</t>
  </si>
  <si>
    <t>FERRY TICKET SALES 2003</t>
  </si>
  <si>
    <t>FERRY TICKET SALES - OLD 2004</t>
  </si>
  <si>
    <t>FERRY TICKET SALES - NEW 2004</t>
  </si>
  <si>
    <t>FERRY TICKET SALES 2005</t>
  </si>
  <si>
    <t>Vehicles - Ticket Sales</t>
  </si>
  <si>
    <t>Pasenger only - Ticket Sales</t>
  </si>
  <si>
    <t>FERRY TICKET SALES 2007</t>
  </si>
  <si>
    <t>SENIOR/DISABLED MOTORCYCLE</t>
  </si>
  <si>
    <t>FERRY TICKET SALES 2008</t>
  </si>
  <si>
    <t>10 TRIP SENIOR CAR &amp; DRIVER</t>
  </si>
  <si>
    <t>20 TRIP SENIOR CAR &amp; DRIVER</t>
  </si>
  <si>
    <t>ADULT BICYCLES - WINTER</t>
  </si>
  <si>
    <t>ADULT BICYCLES - SUMMER</t>
  </si>
  <si>
    <t>ADULT PASSENGER - SUMMER</t>
  </si>
  <si>
    <t>MOTORCYCLES - SUMMER</t>
  </si>
  <si>
    <t>SENIOR/DISABLED VEHICLE - SUMMER</t>
  </si>
  <si>
    <t>YOUTH/SENIOR/DISABLED PASS-SUMMER</t>
  </si>
  <si>
    <t>SENIOR/DISABLED MOTORCYCLE SUMMER</t>
  </si>
  <si>
    <t>S/D/Y BICYCLE - SUMMER</t>
  </si>
  <si>
    <t>S/D/Y BICYCLE</t>
  </si>
  <si>
    <t>TRUCKS &lt; 25 - SUMMER</t>
  </si>
  <si>
    <t>TRUCKS &lt; 30 - SUMMER</t>
  </si>
  <si>
    <t>TRUCKS &lt; 35 - SUMMER</t>
  </si>
  <si>
    <t>TRUCKS &lt; 40 - SUMMER</t>
  </si>
  <si>
    <t>TRUCKS &lt; 45 - SUMMER</t>
  </si>
  <si>
    <t>TRUCKS &lt; 50 - SUMMER</t>
  </si>
  <si>
    <t>TRUCKS &lt; 55 - SUMMER</t>
  </si>
  <si>
    <t>TRUCKS &lt; 60 - SUMMER</t>
  </si>
  <si>
    <t>TRUCKS &lt; 65 - SUMMER</t>
  </si>
  <si>
    <t>C &amp; D - SUMMER</t>
  </si>
  <si>
    <t xml:space="preserve">10 TRIP C &amp; D </t>
  </si>
  <si>
    <t>10 TRIP SENIOR C&amp;D</t>
  </si>
  <si>
    <t>10 TRIP SENIOR MOTORCYCLE</t>
  </si>
  <si>
    <t>23 TRIP ADULT COMMUTER</t>
  </si>
  <si>
    <t xml:space="preserve">23 TRIP C &amp; D </t>
  </si>
  <si>
    <t>23 TRIP MOTORCYCLE</t>
  </si>
  <si>
    <t>ADULT BICYCLE - SUMMER</t>
  </si>
  <si>
    <t>ADULT BICYCLE - WINTER</t>
  </si>
  <si>
    <t>ADULT PASSENGER - WINTER</t>
  </si>
  <si>
    <t>C &amp; D - WINTER</t>
  </si>
  <si>
    <t>MOTORCYCLE - SUMMER</t>
  </si>
  <si>
    <t>MOTORCYCLE - WINTER</t>
  </si>
  <si>
    <t>S/D MOTORCYCLE - SUMMER</t>
  </si>
  <si>
    <t>S/D MOTORCYCLE - WINTER</t>
  </si>
  <si>
    <t>S/D/Y BICYCLE - WINTER</t>
  </si>
  <si>
    <t>S/D/Y PASSANGER - SUMMER</t>
  </si>
  <si>
    <t>S/D/Y PASSANGER - WINTER</t>
  </si>
  <si>
    <t>SENIOR/DISABLED C&amp;D - SUMMER</t>
  </si>
  <si>
    <t>SENIOR/DISABLED C&amp;D - WINTER</t>
  </si>
  <si>
    <t>TRUCKS &lt; 25 - WINTER</t>
  </si>
  <si>
    <t>TRUCKS &lt; 30 - WINTER</t>
  </si>
  <si>
    <t>TRUCKS &lt; 35 - WINTER</t>
  </si>
  <si>
    <t>TRUCKS &lt; 40 - WINTER</t>
  </si>
  <si>
    <t>TRUCKS &lt; 45 - WINTER</t>
  </si>
  <si>
    <t>TRUCKS &lt; 50 - WINTER</t>
  </si>
  <si>
    <t>TRUCKS &lt; 55 - WINTER</t>
  </si>
  <si>
    <t>TRUCKS &lt; 60 - WINTER</t>
  </si>
  <si>
    <t>TRUCKS &lt; 65 - WINTER</t>
  </si>
  <si>
    <t>FERRY TICKET SALES 2009</t>
  </si>
  <si>
    <t># OF PASSENGER FREQ USER PASSES</t>
  </si>
  <si>
    <t>Totals</t>
  </si>
  <si>
    <t>FERRY TICKET SALES 2010</t>
  </si>
  <si>
    <t>March 2009</t>
  </si>
  <si>
    <t>February 2009</t>
  </si>
  <si>
    <t>January 2009</t>
  </si>
  <si>
    <t>April 2009</t>
  </si>
  <si>
    <t>May 2009</t>
  </si>
  <si>
    <t>June 2009</t>
  </si>
  <si>
    <t>July 2009</t>
  </si>
  <si>
    <t>August 2009</t>
  </si>
  <si>
    <t>September 2009</t>
  </si>
  <si>
    <t>October 2009</t>
  </si>
  <si>
    <t>November 2009</t>
  </si>
  <si>
    <t>December 2009</t>
  </si>
  <si>
    <t>Total</t>
  </si>
  <si>
    <t>Tickets Sold</t>
  </si>
  <si>
    <t>Difference</t>
  </si>
  <si>
    <t># OF C&amp;D FREQ USER PASSES</t>
  </si>
  <si>
    <t>Passengers to Guemes</t>
  </si>
  <si>
    <t># OF CASH C&amp;D TICKETS</t>
  </si>
  <si>
    <t># OF CASH MOTORCYCLE TICKETS</t>
  </si>
  <si>
    <t># OF C&amp;D &amp; MTCY FREQ USER PASSES</t>
  </si>
  <si>
    <t># OF OVERSIZE VEHICLE TICKETS</t>
  </si>
  <si>
    <t># OF CASH PASSENGER TICKETS</t>
  </si>
  <si>
    <t># OF BICYCLE TICKETS</t>
  </si>
  <si>
    <t>S/D/Y PASSENGER - WINTER</t>
  </si>
  <si>
    <t>S/D/Y PASSENGER - SUMMER</t>
  </si>
  <si>
    <t>FERRY TICKET SALES 2011</t>
  </si>
  <si>
    <t>20 TRIP C &amp; D</t>
  </si>
  <si>
    <t>20 TRIP SENIOR C &amp; D</t>
  </si>
  <si>
    <t>20 TRIP SENIOR MOTORCYCLE</t>
  </si>
  <si>
    <t>FERRY TICKET SALES 2012</t>
  </si>
  <si>
    <t>10 TRIP CONVENIENCE</t>
  </si>
  <si>
    <t>10 TRIP S/D CONVENIENCE</t>
  </si>
  <si>
    <t>FERRY TICKET SALES 2014</t>
  </si>
  <si>
    <t>FERRY TICKET SALES 2013</t>
  </si>
  <si>
    <t>FERRY TICKET SALES 2015</t>
  </si>
  <si>
    <t>FERRY TICKET SALES 2016</t>
  </si>
  <si>
    <t>FERRY TICKET SALES 2017</t>
  </si>
  <si>
    <t>FERRY TICKET SALES 2018</t>
  </si>
  <si>
    <t>FERRY TICKET SALES 2019</t>
  </si>
  <si>
    <t>25 ADULT COMMUTER</t>
  </si>
  <si>
    <t>25 STUDENT COMMUTER</t>
  </si>
  <si>
    <t>FERRY TICKET SALES 2020</t>
  </si>
  <si>
    <t>25 STUDENT/SENIOR COMMUTER</t>
  </si>
  <si>
    <t>FERRY TICKET SALES 2021</t>
  </si>
  <si>
    <t>FERRY TICKET SALES 2022</t>
  </si>
  <si>
    <t>EXTENDED RUN</t>
  </si>
  <si>
    <t>FERRY TICKET SALES 2023</t>
  </si>
  <si>
    <t>5 TRIP DRIVER &amp; VEHICLE &lt; 30 - SUMMER</t>
  </si>
  <si>
    <t>5 TRIP DRIVER &amp; VEHICLE &lt; 30 - WINTER</t>
  </si>
  <si>
    <t>5 TRIP DRIVER &amp; VEHICLE &lt; 40 - SUMMER</t>
  </si>
  <si>
    <t>5 TRIP DRIVER &amp; VEHICLE &lt; 40 - WINTER</t>
  </si>
  <si>
    <t>5 TRIP DRIVER &amp; VEHICLE &lt; 50 - SUMMER</t>
  </si>
  <si>
    <t>5 TRIP DRIVER &amp; VEHICLE &lt; 50 - WINTER</t>
  </si>
  <si>
    <t>5 TRIP DRIVER &amp; VEHICLE &lt; 60 - SUMMER</t>
  </si>
  <si>
    <t>5 TRIP DRIVER &amp; VEHICLE &lt; 60 - WINTER</t>
  </si>
  <si>
    <t>5 TRIP SENIOR/DISABLED DRIVER &amp; CAR - NEEDS BASED</t>
  </si>
  <si>
    <t>New Rate Schedule as of 8/15/23</t>
  </si>
  <si>
    <t xml:space="preserve">10 TRIP DRIVER &amp; CAR CONVENIENCE </t>
  </si>
  <si>
    <t xml:space="preserve">10 TRIP SENIOR/DISABLED CONVENIENCE </t>
  </si>
  <si>
    <t>20 TRIP DRIVER &amp; CAR</t>
  </si>
  <si>
    <t>20 TRIP SENIOR DRIVER &amp; CAR</t>
  </si>
  <si>
    <t>DRIVER &amp; CAR - SUMMER</t>
  </si>
  <si>
    <t>DRIVER &amp; CAR - WINTER</t>
  </si>
  <si>
    <t>SENIOR/DISABLED DRIVER &amp; CAR - SUMMER</t>
  </si>
  <si>
    <t>SENIOR/DISABLED DRIVER &amp; CAR - WINTER</t>
  </si>
  <si>
    <t>YOUTH 18 &amp; UNDER PASSENGER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</si>
</sst>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_);[Red]\(0\)"/>
  </numFmts>
  <fonts count="20" x14ac:knownFonts="1">
    <font>
      <sz val="12"/>
      <name val="Courier"/>
    </font>
    <font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name val="Comic Sans MS"/>
      <family val="4"/>
    </font>
    <font>
      <sz val="10"/>
      <name val="Comic Sans MS"/>
      <family val="4"/>
    </font>
    <font>
      <sz val="10"/>
      <color indexed="8"/>
      <name val="Comic Sans MS"/>
      <family val="4"/>
    </font>
    <font>
      <b/>
      <sz val="10"/>
      <color indexed="8"/>
      <name val="Comic Sans MS"/>
      <family val="4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name val="Courier"/>
      <family val="3"/>
    </font>
    <font>
      <sz val="8"/>
      <name val="Courier"/>
      <family val="3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107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3" fillId="0" borderId="1" xfId="0" applyFont="1" applyFill="1" applyBorder="1" applyAlignment="1" applyProtection="1"/>
    <xf numFmtId="0" fontId="3" fillId="0" borderId="1" xfId="0" applyFont="1" applyFill="1" applyBorder="1" applyAlignment="1" applyProtection="1">
      <alignment horizontal="center"/>
    </xf>
    <xf numFmtId="0" fontId="3" fillId="0" borderId="2" xfId="0" applyFont="1" applyFill="1" applyBorder="1"/>
    <xf numFmtId="0" fontId="3" fillId="0" borderId="1" xfId="0" applyFont="1" applyFill="1" applyBorder="1"/>
    <xf numFmtId="165" fontId="3" fillId="0" borderId="1" xfId="1" applyNumberFormat="1" applyFont="1" applyFill="1" applyBorder="1" applyAlignment="1" applyProtection="1">
      <alignment horizontal="right"/>
    </xf>
    <xf numFmtId="165" fontId="3" fillId="0" borderId="1" xfId="1" applyNumberFormat="1" applyFont="1" applyFill="1" applyBorder="1" applyAlignment="1">
      <alignment horizontal="right"/>
    </xf>
    <xf numFmtId="165" fontId="6" fillId="0" borderId="3" xfId="0" applyNumberFormat="1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3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165" fontId="6" fillId="0" borderId="3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164" fontId="6" fillId="0" borderId="0" xfId="1" applyNumberFormat="1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Continuous"/>
    </xf>
    <xf numFmtId="0" fontId="8" fillId="0" borderId="4" xfId="0" applyFont="1" applyFill="1" applyBorder="1" applyAlignment="1">
      <alignment horizontal="centerContinuous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5" xfId="0" applyFont="1" applyFill="1" applyBorder="1" applyAlignment="1" applyProtection="1">
      <alignment horizontal="left"/>
    </xf>
    <xf numFmtId="0" fontId="8" fillId="0" borderId="5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left"/>
    </xf>
    <xf numFmtId="165" fontId="9" fillId="0" borderId="0" xfId="1" applyNumberFormat="1" applyFont="1" applyFill="1" applyBorder="1" applyAlignment="1" applyProtection="1"/>
    <xf numFmtId="165" fontId="9" fillId="0" borderId="0" xfId="1" applyNumberFormat="1" applyFont="1" applyFill="1" applyBorder="1" applyAlignment="1"/>
    <xf numFmtId="0" fontId="9" fillId="0" borderId="0" xfId="0" applyFont="1" applyFill="1" applyBorder="1" applyAlignment="1">
      <alignment horizontal="left"/>
    </xf>
    <xf numFmtId="165" fontId="6" fillId="0" borderId="6" xfId="0" applyNumberFormat="1" applyFont="1" applyFill="1" applyBorder="1" applyAlignment="1" applyProtection="1">
      <alignment vertical="center"/>
    </xf>
    <xf numFmtId="0" fontId="4" fillId="0" borderId="0" xfId="2" applyFont="1" applyBorder="1" applyAlignment="1" applyProtection="1">
      <alignment horizontal="left" vertical="center"/>
    </xf>
    <xf numFmtId="0" fontId="5" fillId="0" borderId="0" xfId="2" applyFont="1" applyBorder="1" applyAlignment="1">
      <alignment vertical="center"/>
    </xf>
    <xf numFmtId="0" fontId="6" fillId="0" borderId="3" xfId="2" applyFont="1" applyFill="1" applyBorder="1" applyAlignment="1" applyProtection="1">
      <alignment vertical="center"/>
    </xf>
    <xf numFmtId="0" fontId="7" fillId="0" borderId="3" xfId="2" applyFont="1" applyFill="1" applyBorder="1" applyAlignment="1" applyProtection="1">
      <alignment horizontal="center" vertical="center"/>
    </xf>
    <xf numFmtId="0" fontId="7" fillId="0" borderId="3" xfId="2" applyFont="1" applyFill="1" applyBorder="1" applyAlignment="1" applyProtection="1">
      <alignment vertical="center"/>
    </xf>
    <xf numFmtId="0" fontId="6" fillId="0" borderId="0" xfId="2" applyFont="1" applyFill="1" applyBorder="1" applyAlignment="1">
      <alignment vertical="center"/>
    </xf>
    <xf numFmtId="165" fontId="6" fillId="0" borderId="3" xfId="2" applyNumberFormat="1" applyFont="1" applyFill="1" applyBorder="1" applyAlignment="1" applyProtection="1">
      <alignment vertical="center"/>
    </xf>
    <xf numFmtId="165" fontId="6" fillId="0" borderId="3" xfId="2" applyNumberFormat="1" applyFont="1" applyFill="1" applyBorder="1" applyAlignment="1">
      <alignment vertical="center"/>
    </xf>
    <xf numFmtId="0" fontId="6" fillId="0" borderId="3" xfId="2" applyFont="1" applyFill="1" applyBorder="1" applyAlignment="1">
      <alignment vertical="center"/>
    </xf>
    <xf numFmtId="165" fontId="6" fillId="0" borderId="6" xfId="2" applyNumberFormat="1" applyFont="1" applyFill="1" applyBorder="1" applyAlignment="1" applyProtection="1">
      <alignment vertical="center"/>
    </xf>
    <xf numFmtId="0" fontId="5" fillId="0" borderId="0" xfId="2" applyFont="1" applyBorder="1" applyAlignment="1" applyProtection="1">
      <alignment horizontal="left" vertical="center"/>
    </xf>
    <xf numFmtId="0" fontId="9" fillId="0" borderId="0" xfId="0" applyFont="1"/>
    <xf numFmtId="0" fontId="9" fillId="0" borderId="0" xfId="0" applyFont="1" applyAlignment="1">
      <alignment horizontal="right"/>
    </xf>
    <xf numFmtId="164" fontId="9" fillId="0" borderId="0" xfId="1" applyNumberFormat="1" applyFont="1" applyAlignment="1">
      <alignment horizontal="left"/>
    </xf>
    <xf numFmtId="0" fontId="7" fillId="0" borderId="0" xfId="2" applyFont="1" applyFill="1" applyBorder="1" applyAlignment="1" applyProtection="1">
      <alignment vertical="center"/>
    </xf>
    <xf numFmtId="165" fontId="6" fillId="0" borderId="0" xfId="2" applyNumberFormat="1" applyFont="1" applyFill="1" applyBorder="1" applyAlignment="1" applyProtection="1">
      <alignment vertical="center"/>
    </xf>
    <xf numFmtId="0" fontId="7" fillId="0" borderId="6" xfId="2" applyFont="1" applyFill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horizontal="left" vertical="center"/>
    </xf>
    <xf numFmtId="0" fontId="0" fillId="0" borderId="8" xfId="0" applyBorder="1"/>
    <xf numFmtId="0" fontId="6" fillId="0" borderId="8" xfId="0" applyFont="1" applyFill="1" applyBorder="1" applyAlignment="1" applyProtection="1">
      <alignment vertical="center"/>
    </xf>
    <xf numFmtId="0" fontId="6" fillId="0" borderId="9" xfId="0" applyFont="1" applyFill="1" applyBorder="1" applyAlignment="1" applyProtection="1">
      <alignment vertical="center"/>
    </xf>
    <xf numFmtId="0" fontId="0" fillId="0" borderId="3" xfId="0" applyBorder="1"/>
    <xf numFmtId="0" fontId="0" fillId="0" borderId="10" xfId="0" applyBorder="1"/>
    <xf numFmtId="0" fontId="6" fillId="0" borderId="8" xfId="2" applyFont="1" applyFill="1" applyBorder="1" applyAlignment="1" applyProtection="1">
      <alignment vertical="center"/>
    </xf>
    <xf numFmtId="0" fontId="0" fillId="0" borderId="6" xfId="0" applyBorder="1"/>
    <xf numFmtId="0" fontId="6" fillId="0" borderId="0" xfId="2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3" xfId="0" applyFill="1" applyBorder="1"/>
    <xf numFmtId="0" fontId="6" fillId="0" borderId="9" xfId="2" applyFont="1" applyFill="1" applyBorder="1" applyAlignment="1" applyProtection="1">
      <alignment vertical="center"/>
    </xf>
    <xf numFmtId="49" fontId="9" fillId="0" borderId="0" xfId="0" applyNumberFormat="1" applyFont="1"/>
    <xf numFmtId="41" fontId="9" fillId="0" borderId="0" xfId="0" applyNumberFormat="1" applyFont="1"/>
    <xf numFmtId="3" fontId="9" fillId="0" borderId="0" xfId="0" applyNumberFormat="1" applyFont="1"/>
    <xf numFmtId="49" fontId="9" fillId="0" borderId="0" xfId="0" applyNumberFormat="1" applyFont="1" applyAlignment="1">
      <alignment horizontal="right"/>
    </xf>
    <xf numFmtId="17" fontId="9" fillId="0" borderId="0" xfId="0" applyNumberFormat="1" applyFont="1" applyAlignment="1">
      <alignment horizontal="right"/>
    </xf>
    <xf numFmtId="1" fontId="0" fillId="0" borderId="3" xfId="0" applyNumberFormat="1" applyBorder="1"/>
    <xf numFmtId="0" fontId="14" fillId="0" borderId="0" xfId="0" applyFont="1"/>
    <xf numFmtId="0" fontId="14" fillId="0" borderId="8" xfId="0" applyFont="1" applyBorder="1"/>
    <xf numFmtId="0" fontId="15" fillId="0" borderId="6" xfId="2" applyFont="1" applyFill="1" applyBorder="1" applyAlignment="1" applyProtection="1">
      <alignment horizontal="center" vertical="center"/>
    </xf>
    <xf numFmtId="0" fontId="15" fillId="0" borderId="3" xfId="2" applyFont="1" applyFill="1" applyBorder="1" applyAlignment="1" applyProtection="1">
      <alignment horizontal="center" vertical="center"/>
    </xf>
    <xf numFmtId="0" fontId="15" fillId="0" borderId="3" xfId="2" applyFont="1" applyFill="1" applyBorder="1" applyAlignment="1" applyProtection="1">
      <alignment vertical="center"/>
    </xf>
    <xf numFmtId="0" fontId="14" fillId="0" borderId="3" xfId="0" applyFont="1" applyBorder="1"/>
    <xf numFmtId="0" fontId="14" fillId="0" borderId="3" xfId="0" applyFont="1" applyFill="1" applyBorder="1"/>
    <xf numFmtId="1" fontId="14" fillId="0" borderId="3" xfId="0" applyNumberFormat="1" applyFont="1" applyBorder="1"/>
    <xf numFmtId="0" fontId="14" fillId="0" borderId="6" xfId="0" applyFont="1" applyBorder="1"/>
    <xf numFmtId="0" fontId="16" fillId="0" borderId="0" xfId="2" applyFont="1" applyFill="1" applyBorder="1" applyAlignment="1" applyProtection="1">
      <alignment vertical="center"/>
    </xf>
    <xf numFmtId="0" fontId="16" fillId="0" borderId="3" xfId="2" applyFont="1" applyFill="1" applyBorder="1" applyAlignment="1">
      <alignment vertical="center"/>
    </xf>
    <xf numFmtId="165" fontId="16" fillId="0" borderId="6" xfId="2" applyNumberFormat="1" applyFont="1" applyFill="1" applyBorder="1" applyAlignment="1" applyProtection="1">
      <alignment vertical="center"/>
    </xf>
    <xf numFmtId="0" fontId="16" fillId="0" borderId="3" xfId="2" applyFont="1" applyFill="1" applyBorder="1" applyAlignment="1" applyProtection="1">
      <alignment vertical="center"/>
    </xf>
    <xf numFmtId="0" fontId="16" fillId="0" borderId="0" xfId="2" applyFont="1" applyFill="1" applyBorder="1" applyAlignment="1">
      <alignment vertical="center"/>
    </xf>
    <xf numFmtId="164" fontId="16" fillId="0" borderId="0" xfId="1" applyNumberFormat="1" applyFont="1" applyFill="1" applyBorder="1" applyAlignment="1" applyProtection="1">
      <alignment vertical="center"/>
    </xf>
    <xf numFmtId="0" fontId="17" fillId="0" borderId="7" xfId="2" applyFont="1" applyBorder="1" applyAlignment="1" applyProtection="1">
      <alignment horizontal="left" vertical="center"/>
    </xf>
    <xf numFmtId="0" fontId="14" fillId="0" borderId="6" xfId="0" applyFont="1" applyFill="1" applyBorder="1"/>
    <xf numFmtId="0" fontId="16" fillId="0" borderId="3" xfId="0" applyFont="1" applyFill="1" applyBorder="1" applyAlignment="1" applyProtection="1">
      <alignment vertical="center"/>
    </xf>
    <xf numFmtId="0" fontId="16" fillId="0" borderId="3" xfId="0" applyFont="1" applyBorder="1"/>
    <xf numFmtId="0" fontId="9" fillId="0" borderId="6" xfId="0" applyFont="1" applyBorder="1"/>
    <xf numFmtId="0" fontId="9" fillId="0" borderId="3" xfId="0" applyFont="1" applyBorder="1"/>
    <xf numFmtId="0" fontId="9" fillId="0" borderId="3" xfId="0" applyFont="1" applyFill="1" applyBorder="1"/>
    <xf numFmtId="1" fontId="9" fillId="0" borderId="3" xfId="0" applyNumberFormat="1" applyFont="1" applyBorder="1"/>
    <xf numFmtId="0" fontId="9" fillId="0" borderId="6" xfId="0" applyFont="1" applyFill="1" applyBorder="1"/>
    <xf numFmtId="0" fontId="19" fillId="0" borderId="0" xfId="0" applyFont="1"/>
    <xf numFmtId="0" fontId="16" fillId="0" borderId="3" xfId="0" applyFont="1" applyBorder="1" applyAlignment="1">
      <alignment vertical="center"/>
    </xf>
    <xf numFmtId="0" fontId="16" fillId="2" borderId="3" xfId="0" applyNumberFormat="1" applyFont="1" applyFill="1" applyBorder="1"/>
    <xf numFmtId="0" fontId="9" fillId="0" borderId="6" xfId="0" applyNumberFormat="1" applyFont="1" applyBorder="1"/>
    <xf numFmtId="0" fontId="9" fillId="0" borderId="3" xfId="0" applyNumberFormat="1" applyFont="1" applyBorder="1"/>
    <xf numFmtId="0" fontId="9" fillId="0" borderId="3" xfId="0" applyNumberFormat="1" applyFont="1" applyFill="1" applyBorder="1"/>
    <xf numFmtId="0" fontId="16" fillId="0" borderId="3" xfId="1" applyNumberFormat="1" applyFont="1" applyFill="1" applyBorder="1" applyProtection="1">
      <protection locked="0"/>
    </xf>
    <xf numFmtId="0" fontId="16" fillId="0" borderId="3" xfId="1" applyNumberFormat="1" applyFont="1" applyFill="1" applyBorder="1" applyProtection="1"/>
    <xf numFmtId="0" fontId="9" fillId="0" borderId="0" xfId="0" applyFont="1" applyFill="1"/>
    <xf numFmtId="0" fontId="16" fillId="0" borderId="3" xfId="0" applyNumberFormat="1" applyFont="1" applyFill="1" applyBorder="1"/>
    <xf numFmtId="0" fontId="14" fillId="0" borderId="0" xfId="0" applyFont="1" applyFill="1"/>
    <xf numFmtId="0" fontId="16" fillId="0" borderId="3" xfId="2" applyFont="1" applyFill="1" applyBorder="1" applyAlignment="1" applyProtection="1">
      <alignment horizontal="right" vertical="center"/>
    </xf>
    <xf numFmtId="0" fontId="9" fillId="2" borderId="3" xfId="0" applyFont="1" applyFill="1" applyBorder="1"/>
    <xf numFmtId="0" fontId="16" fillId="3" borderId="3" xfId="0" applyNumberFormat="1" applyFont="1" applyFill="1" applyBorder="1" applyAlignment="1">
      <alignment horizontal="right"/>
    </xf>
    <xf numFmtId="49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</cellXfs>
  <cellStyles count="3">
    <cellStyle name="Comma" xfId="1" builtinId="3"/>
    <cellStyle name="Normal" xfId="0" builtinId="0"/>
    <cellStyle name="Normal_Ferry Sales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Ticket Sales</a:t>
            </a:r>
          </a:p>
        </c:rich>
      </c:tx>
      <c:layout>
        <c:manualLayout>
          <c:xMode val="edge"/>
          <c:yMode val="edge"/>
          <c:x val="0.42047570379113941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62717417016664"/>
          <c:y val="0.2181818181818182"/>
          <c:w val="0.84277954572842795"/>
          <c:h val="0.53818181818181865"/>
        </c:manualLayout>
      </c:layout>
      <c:lineChart>
        <c:grouping val="standard"/>
        <c:varyColors val="0"/>
        <c:ser>
          <c:idx val="0"/>
          <c:order val="0"/>
          <c:tx>
            <c:strRef>
              <c:f>'Chart1997-2010'!$A$2</c:f>
              <c:strCache>
                <c:ptCount val="1"/>
                <c:pt idx="0">
                  <c:v>Vehicles - Ticket Sales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'Chart1997-2010'!$B$1:$J$1</c:f>
              <c:numCache>
                <c:formatCode>General</c:formatCode>
                <c:ptCount val="9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</c:numCache>
            </c:numRef>
          </c:cat>
          <c:val>
            <c:numRef>
              <c:f>'Chart1997-2010'!$B$2:$J$2</c:f>
              <c:numCache>
                <c:formatCode>_(* #,##0_);_(* \(#,##0\);_(* "-"??_);_(@_)</c:formatCode>
                <c:ptCount val="9"/>
                <c:pt idx="0">
                  <c:v>102336</c:v>
                </c:pt>
                <c:pt idx="1">
                  <c:v>102578</c:v>
                </c:pt>
                <c:pt idx="2">
                  <c:v>99332</c:v>
                </c:pt>
                <c:pt idx="3">
                  <c:v>106548</c:v>
                </c:pt>
                <c:pt idx="4">
                  <c:v>108115</c:v>
                </c:pt>
                <c:pt idx="5">
                  <c:v>109981</c:v>
                </c:pt>
                <c:pt idx="6">
                  <c:v>104979</c:v>
                </c:pt>
                <c:pt idx="7">
                  <c:v>102631</c:v>
                </c:pt>
                <c:pt idx="8">
                  <c:v>80319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C7-426B-91DD-A49D0868C1F6}"/>
            </c:ext>
          </c:extLst>
        </c:ser>
        <c:ser>
          <c:idx val="1"/>
          <c:order val="1"/>
          <c:tx>
            <c:strRef>
              <c:f>'Chart1997-2010'!$A$3</c:f>
              <c:strCache>
                <c:ptCount val="1"/>
                <c:pt idx="0">
                  <c:v>Pasenger only - Ticket Sales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'Chart1997-2010'!$B$1:$J$1</c:f>
              <c:numCache>
                <c:formatCode>General</c:formatCode>
                <c:ptCount val="9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</c:numCache>
            </c:numRef>
          </c:cat>
          <c:val>
            <c:numRef>
              <c:f>'Chart1997-2010'!$B$3:$J$3</c:f>
              <c:numCache>
                <c:formatCode>_(* #,##0_);_(* \(#,##0\);_(* "-"??_);_(@_)</c:formatCode>
                <c:ptCount val="9"/>
                <c:pt idx="0">
                  <c:v>87139</c:v>
                </c:pt>
                <c:pt idx="1">
                  <c:v>85900</c:v>
                </c:pt>
                <c:pt idx="2">
                  <c:v>87607</c:v>
                </c:pt>
                <c:pt idx="3">
                  <c:v>86862</c:v>
                </c:pt>
                <c:pt idx="4">
                  <c:v>91005</c:v>
                </c:pt>
                <c:pt idx="5">
                  <c:v>92633</c:v>
                </c:pt>
                <c:pt idx="6">
                  <c:v>95748</c:v>
                </c:pt>
                <c:pt idx="7">
                  <c:v>90782</c:v>
                </c:pt>
                <c:pt idx="8">
                  <c:v>96844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C7-426B-91DD-A49D0868C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67680"/>
        <c:axId val="202569600"/>
      </c:lineChart>
      <c:catAx>
        <c:axId val="20256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569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569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567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776965265082269"/>
          <c:y val="0.89454545454545464"/>
          <c:w val="0.59049360146252305"/>
          <c:h val="8.000000000000140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Ticket Sales</a:t>
            </a:r>
          </a:p>
        </c:rich>
      </c:tx>
      <c:layout>
        <c:manualLayout>
          <c:xMode val="edge"/>
          <c:yMode val="edge"/>
          <c:x val="0.44204342826498355"/>
          <c:y val="3.35051546391752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249555486379674E-2"/>
          <c:y val="0.19329921233087893"/>
          <c:w val="0.88899846176943043"/>
          <c:h val="0.59793889681018564"/>
        </c:manualLayout>
      </c:layout>
      <c:lineChart>
        <c:grouping val="standard"/>
        <c:varyColors val="0"/>
        <c:ser>
          <c:idx val="0"/>
          <c:order val="0"/>
          <c:tx>
            <c:strRef>
              <c:f>'Chart1997-2010'!$A$2</c:f>
              <c:strCache>
                <c:ptCount val="1"/>
                <c:pt idx="0">
                  <c:v>Vehicles - Ticket Sales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'Chart1997-2010'!$B$1:$O$1</c:f>
              <c:numCache>
                <c:formatCode>General</c:formatCode>
                <c:ptCount val="1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</c:numCache>
            </c:numRef>
          </c:cat>
          <c:val>
            <c:numRef>
              <c:f>'Chart1997-2010'!$B$2:$O$2</c:f>
              <c:numCache>
                <c:formatCode>_(* #,##0_);_(* \(#,##0\);_(* "-"??_);_(@_)</c:formatCode>
                <c:ptCount val="14"/>
                <c:pt idx="0">
                  <c:v>102336</c:v>
                </c:pt>
                <c:pt idx="1">
                  <c:v>102578</c:v>
                </c:pt>
                <c:pt idx="2">
                  <c:v>99332</c:v>
                </c:pt>
                <c:pt idx="3">
                  <c:v>106548</c:v>
                </c:pt>
                <c:pt idx="4">
                  <c:v>108115</c:v>
                </c:pt>
                <c:pt idx="5">
                  <c:v>109981</c:v>
                </c:pt>
                <c:pt idx="6">
                  <c:v>104979</c:v>
                </c:pt>
                <c:pt idx="7">
                  <c:v>102631</c:v>
                </c:pt>
                <c:pt idx="8">
                  <c:v>80319</c:v>
                </c:pt>
                <c:pt idx="9">
                  <c:v>95273.333333333328</c:v>
                </c:pt>
                <c:pt idx="10" formatCode="General">
                  <c:v>94705</c:v>
                </c:pt>
                <c:pt idx="11" formatCode="General">
                  <c:v>89112</c:v>
                </c:pt>
                <c:pt idx="12" formatCode="General">
                  <c:v>95250</c:v>
                </c:pt>
                <c:pt idx="13" formatCode="General">
                  <c:v>90675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6E-488F-8C70-F0BE9C3D97D0}"/>
            </c:ext>
          </c:extLst>
        </c:ser>
        <c:ser>
          <c:idx val="1"/>
          <c:order val="1"/>
          <c:tx>
            <c:strRef>
              <c:f>'Chart1997-2010'!$A$3</c:f>
              <c:strCache>
                <c:ptCount val="1"/>
                <c:pt idx="0">
                  <c:v>Pasenger only - Ticket Sales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'Chart1997-2010'!$B$1:$O$1</c:f>
              <c:numCache>
                <c:formatCode>General</c:formatCode>
                <c:ptCount val="1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</c:numCache>
            </c:numRef>
          </c:cat>
          <c:val>
            <c:numRef>
              <c:f>'Chart1997-2010'!$B$3:$O$3</c:f>
              <c:numCache>
                <c:formatCode>_(* #,##0_);_(* \(#,##0\);_(* "-"??_);_(@_)</c:formatCode>
                <c:ptCount val="14"/>
                <c:pt idx="0">
                  <c:v>87139</c:v>
                </c:pt>
                <c:pt idx="1">
                  <c:v>85900</c:v>
                </c:pt>
                <c:pt idx="2">
                  <c:v>87607</c:v>
                </c:pt>
                <c:pt idx="3">
                  <c:v>86862</c:v>
                </c:pt>
                <c:pt idx="4">
                  <c:v>91005</c:v>
                </c:pt>
                <c:pt idx="5">
                  <c:v>92633</c:v>
                </c:pt>
                <c:pt idx="6">
                  <c:v>95748</c:v>
                </c:pt>
                <c:pt idx="7">
                  <c:v>90782</c:v>
                </c:pt>
                <c:pt idx="8">
                  <c:v>96844</c:v>
                </c:pt>
                <c:pt idx="9">
                  <c:v>89788</c:v>
                </c:pt>
                <c:pt idx="10" formatCode="General">
                  <c:v>88277</c:v>
                </c:pt>
                <c:pt idx="11" formatCode="General">
                  <c:v>88165</c:v>
                </c:pt>
                <c:pt idx="12" formatCode="General">
                  <c:v>100627</c:v>
                </c:pt>
                <c:pt idx="13" formatCode="General">
                  <c:v>98269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6E-488F-8C70-F0BE9C3D9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602752"/>
        <c:axId val="202609024"/>
      </c:lineChart>
      <c:catAx>
        <c:axId val="20260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609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609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602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416502946954884"/>
          <c:y val="0.91237113402061853"/>
          <c:w val="0.43516699410608961"/>
          <c:h val="7.2164948453606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8</xdr:row>
      <xdr:rowOff>9525</xdr:rowOff>
    </xdr:from>
    <xdr:to>
      <xdr:col>8</xdr:col>
      <xdr:colOff>333375</xdr:colOff>
      <xdr:row>24</xdr:row>
      <xdr:rowOff>38100</xdr:rowOff>
    </xdr:to>
    <xdr:graphicFrame macro="">
      <xdr:nvGraphicFramePr>
        <xdr:cNvPr id="5221" name="Chart 1">
          <a:extLst>
            <a:ext uri="{FF2B5EF4-FFF2-40B4-BE49-F238E27FC236}">
              <a16:creationId xmlns:a16="http://schemas.microsoft.com/office/drawing/2014/main" id="{00000000-0008-0000-0B00-00006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1600200</xdr:colOff>
      <xdr:row>4</xdr:row>
      <xdr:rowOff>19050</xdr:rowOff>
    </xdr:from>
    <xdr:to>
      <xdr:col>13</xdr:col>
      <xdr:colOff>47625</xdr:colOff>
      <xdr:row>26</xdr:row>
      <xdr:rowOff>152400</xdr:rowOff>
    </xdr:to>
    <xdr:graphicFrame macro="">
      <xdr:nvGraphicFramePr>
        <xdr:cNvPr id="5222" name="Chart 2">
          <a:extLst>
            <a:ext uri="{FF2B5EF4-FFF2-40B4-BE49-F238E27FC236}">
              <a16:creationId xmlns:a16="http://schemas.microsoft.com/office/drawing/2014/main" id="{00000000-0008-0000-0B00-00006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452FC-D996-4C74-A96D-72B5396DC8CD}">
  <sheetPr>
    <pageSetUpPr fitToPage="1"/>
  </sheetPr>
  <dimension ref="A1:N82"/>
  <sheetViews>
    <sheetView tabSelected="1" workbookViewId="0">
      <pane xSplit="1" ySplit="3" topLeftCell="K41" activePane="bottomRight" state="frozen"/>
      <selection pane="topRight" activeCell="B1" sqref="B1"/>
      <selection pane="bottomLeft" activeCell="A4" sqref="A4"/>
      <selection pane="bottomRight" activeCell="L64" sqref="L64"/>
    </sheetView>
  </sheetViews>
  <sheetFormatPr defaultColWidth="8.9140625" defaultRowHeight="15" x14ac:dyDescent="0.25"/>
  <cols>
    <col min="1" max="1" width="39.08203125" style="66" customWidth="1"/>
    <col min="2" max="2" width="8.9140625" style="66"/>
    <col min="3" max="13" width="8.9140625" style="66" customWidth="1"/>
    <col min="14" max="16384" width="8.9140625" style="66"/>
  </cols>
  <sheetData>
    <row r="1" spans="1:14" ht="15.6" x14ac:dyDescent="0.25">
      <c r="A1" s="81" t="s">
        <v>206</v>
      </c>
    </row>
    <row r="2" spans="1:14" x14ac:dyDescent="0.25">
      <c r="A2" s="67"/>
      <c r="I2" s="90" t="s">
        <v>216</v>
      </c>
    </row>
    <row r="3" spans="1:14" x14ac:dyDescent="0.25">
      <c r="A3" s="67"/>
      <c r="B3" s="68" t="s">
        <v>29</v>
      </c>
      <c r="C3" s="69" t="s">
        <v>30</v>
      </c>
      <c r="D3" s="69" t="s">
        <v>31</v>
      </c>
      <c r="E3" s="69" t="s">
        <v>32</v>
      </c>
      <c r="F3" s="69" t="s">
        <v>33</v>
      </c>
      <c r="G3" s="69" t="s">
        <v>34</v>
      </c>
      <c r="H3" s="69" t="s">
        <v>35</v>
      </c>
      <c r="I3" s="69" t="s">
        <v>36</v>
      </c>
      <c r="J3" s="69" t="s">
        <v>37</v>
      </c>
      <c r="K3" s="69" t="s">
        <v>38</v>
      </c>
      <c r="L3" s="69" t="s">
        <v>39</v>
      </c>
      <c r="M3" s="69" t="s">
        <v>40</v>
      </c>
      <c r="N3" s="70" t="s">
        <v>41</v>
      </c>
    </row>
    <row r="4" spans="1:14" s="42" customFormat="1" ht="15" customHeight="1" x14ac:dyDescent="0.25">
      <c r="A4" s="84" t="s">
        <v>207</v>
      </c>
      <c r="B4" s="92">
        <v>0</v>
      </c>
      <c r="C4" s="92">
        <v>0</v>
      </c>
      <c r="D4" s="92">
        <v>0</v>
      </c>
      <c r="E4" s="92">
        <v>0</v>
      </c>
      <c r="F4" s="92">
        <v>0</v>
      </c>
      <c r="G4" s="92">
        <v>0</v>
      </c>
      <c r="H4" s="92">
        <v>0</v>
      </c>
      <c r="I4" s="103">
        <v>135</v>
      </c>
      <c r="J4" s="101">
        <v>75</v>
      </c>
      <c r="K4" s="101">
        <v>130</v>
      </c>
      <c r="L4" s="101">
        <v>5</v>
      </c>
      <c r="M4" s="101"/>
      <c r="N4" s="70"/>
    </row>
    <row r="5" spans="1:14" s="42" customFormat="1" ht="15" customHeight="1" x14ac:dyDescent="0.25">
      <c r="A5" s="84" t="s">
        <v>208</v>
      </c>
      <c r="B5" s="92">
        <v>0</v>
      </c>
      <c r="C5" s="92">
        <v>0</v>
      </c>
      <c r="D5" s="92">
        <v>0</v>
      </c>
      <c r="E5" s="92">
        <v>0</v>
      </c>
      <c r="F5" s="92">
        <v>0</v>
      </c>
      <c r="G5" s="92">
        <v>0</v>
      </c>
      <c r="H5" s="92">
        <v>0</v>
      </c>
      <c r="I5" s="103">
        <v>0</v>
      </c>
      <c r="J5" s="101">
        <v>0</v>
      </c>
      <c r="K5" s="101">
        <v>35</v>
      </c>
      <c r="L5" s="101">
        <v>20</v>
      </c>
      <c r="M5" s="101"/>
      <c r="N5" s="70"/>
    </row>
    <row r="6" spans="1:14" s="42" customFormat="1" ht="15" customHeight="1" x14ac:dyDescent="0.25">
      <c r="A6" s="84" t="s">
        <v>209</v>
      </c>
      <c r="B6" s="92">
        <v>0</v>
      </c>
      <c r="C6" s="92">
        <v>0</v>
      </c>
      <c r="D6" s="92">
        <v>0</v>
      </c>
      <c r="E6" s="92">
        <v>0</v>
      </c>
      <c r="F6" s="92">
        <v>0</v>
      </c>
      <c r="G6" s="92">
        <v>0</v>
      </c>
      <c r="H6" s="92">
        <v>0</v>
      </c>
      <c r="I6" s="103">
        <v>60</v>
      </c>
      <c r="J6" s="101">
        <v>60</v>
      </c>
      <c r="K6" s="101">
        <v>40</v>
      </c>
      <c r="L6" s="101">
        <v>0</v>
      </c>
      <c r="M6" s="101"/>
      <c r="N6" s="70"/>
    </row>
    <row r="7" spans="1:14" s="42" customFormat="1" ht="15" customHeight="1" x14ac:dyDescent="0.25">
      <c r="A7" s="84" t="s">
        <v>210</v>
      </c>
      <c r="B7" s="92">
        <v>0</v>
      </c>
      <c r="C7" s="92">
        <v>0</v>
      </c>
      <c r="D7" s="92">
        <v>0</v>
      </c>
      <c r="E7" s="92">
        <v>0</v>
      </c>
      <c r="F7" s="92">
        <v>0</v>
      </c>
      <c r="G7" s="92">
        <v>0</v>
      </c>
      <c r="H7" s="92">
        <v>0</v>
      </c>
      <c r="I7" s="103">
        <v>0</v>
      </c>
      <c r="J7" s="101">
        <v>0</v>
      </c>
      <c r="K7" s="101">
        <v>20</v>
      </c>
      <c r="L7" s="101">
        <v>20</v>
      </c>
      <c r="M7" s="101"/>
      <c r="N7" s="70"/>
    </row>
    <row r="8" spans="1:14" s="42" customFormat="1" ht="15" customHeight="1" x14ac:dyDescent="0.25">
      <c r="A8" s="84" t="s">
        <v>211</v>
      </c>
      <c r="B8" s="92">
        <v>0</v>
      </c>
      <c r="C8" s="92">
        <v>0</v>
      </c>
      <c r="D8" s="92">
        <v>0</v>
      </c>
      <c r="E8" s="92">
        <v>0</v>
      </c>
      <c r="F8" s="92">
        <v>0</v>
      </c>
      <c r="G8" s="92">
        <v>0</v>
      </c>
      <c r="H8" s="92">
        <v>0</v>
      </c>
      <c r="I8" s="103">
        <v>10</v>
      </c>
      <c r="J8" s="101">
        <v>5</v>
      </c>
      <c r="K8" s="101">
        <v>0</v>
      </c>
      <c r="L8" s="101">
        <v>0</v>
      </c>
      <c r="M8" s="101"/>
      <c r="N8" s="70"/>
    </row>
    <row r="9" spans="1:14" s="42" customFormat="1" ht="15" customHeight="1" x14ac:dyDescent="0.25">
      <c r="A9" s="84" t="s">
        <v>212</v>
      </c>
      <c r="B9" s="92">
        <v>0</v>
      </c>
      <c r="C9" s="92">
        <v>0</v>
      </c>
      <c r="D9" s="92">
        <v>0</v>
      </c>
      <c r="E9" s="92">
        <v>0</v>
      </c>
      <c r="F9" s="92">
        <v>0</v>
      </c>
      <c r="G9" s="92">
        <v>0</v>
      </c>
      <c r="H9" s="92">
        <v>0</v>
      </c>
      <c r="I9" s="103">
        <v>0</v>
      </c>
      <c r="J9" s="101">
        <v>0</v>
      </c>
      <c r="K9" s="101">
        <v>10</v>
      </c>
      <c r="L9" s="101">
        <v>0</v>
      </c>
      <c r="M9" s="101"/>
      <c r="N9" s="70"/>
    </row>
    <row r="10" spans="1:14" s="42" customFormat="1" ht="15" customHeight="1" x14ac:dyDescent="0.25">
      <c r="A10" s="84" t="s">
        <v>213</v>
      </c>
      <c r="B10" s="92">
        <v>0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103">
        <v>5</v>
      </c>
      <c r="J10" s="101">
        <v>0</v>
      </c>
      <c r="K10" s="101">
        <v>10</v>
      </c>
      <c r="L10" s="101">
        <v>0</v>
      </c>
      <c r="M10" s="101"/>
      <c r="N10" s="70"/>
    </row>
    <row r="11" spans="1:14" s="42" customFormat="1" ht="15" customHeight="1" x14ac:dyDescent="0.25">
      <c r="A11" s="84" t="s">
        <v>214</v>
      </c>
      <c r="B11" s="92">
        <v>0</v>
      </c>
      <c r="C11" s="92">
        <v>0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103">
        <v>0</v>
      </c>
      <c r="J11" s="101">
        <v>0</v>
      </c>
      <c r="K11" s="101">
        <v>0</v>
      </c>
      <c r="L11" s="101">
        <v>0</v>
      </c>
      <c r="M11" s="101"/>
      <c r="N11" s="70"/>
    </row>
    <row r="12" spans="1:14" s="42" customFormat="1" ht="15" customHeight="1" x14ac:dyDescent="0.25">
      <c r="A12" s="84" t="s">
        <v>215</v>
      </c>
      <c r="B12" s="92">
        <v>0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103">
        <v>20</v>
      </c>
      <c r="J12" s="101">
        <v>0</v>
      </c>
      <c r="K12" s="101">
        <v>20</v>
      </c>
      <c r="L12" s="101">
        <v>15</v>
      </c>
      <c r="M12" s="101"/>
      <c r="N12" s="70"/>
    </row>
    <row r="13" spans="1:14" s="42" customFormat="1" ht="15" customHeight="1" x14ac:dyDescent="0.25">
      <c r="A13" s="91" t="s">
        <v>217</v>
      </c>
      <c r="B13" s="93">
        <v>20</v>
      </c>
      <c r="C13" s="94">
        <v>330</v>
      </c>
      <c r="D13" s="94">
        <v>170</v>
      </c>
      <c r="E13" s="94">
        <v>130</v>
      </c>
      <c r="F13" s="94">
        <v>170</v>
      </c>
      <c r="G13" s="95">
        <v>280</v>
      </c>
      <c r="H13" s="94">
        <v>230</v>
      </c>
      <c r="I13" s="99">
        <v>800</v>
      </c>
      <c r="J13" s="102">
        <v>0</v>
      </c>
      <c r="K13" s="102">
        <v>0</v>
      </c>
      <c r="L13" s="102">
        <v>0</v>
      </c>
      <c r="M13" s="102">
        <v>0</v>
      </c>
      <c r="N13" s="86">
        <f>SUM(B13:M13)</f>
        <v>2130</v>
      </c>
    </row>
    <row r="14" spans="1:14" s="42" customFormat="1" ht="15" customHeight="1" x14ac:dyDescent="0.25">
      <c r="A14" s="91" t="s">
        <v>218</v>
      </c>
      <c r="B14" s="93">
        <v>60</v>
      </c>
      <c r="C14" s="94">
        <v>130</v>
      </c>
      <c r="D14" s="94">
        <v>200</v>
      </c>
      <c r="E14" s="94">
        <v>200</v>
      </c>
      <c r="F14" s="94">
        <v>280</v>
      </c>
      <c r="G14" s="95">
        <v>360</v>
      </c>
      <c r="H14" s="94">
        <v>260</v>
      </c>
      <c r="I14" s="99">
        <v>670</v>
      </c>
      <c r="J14" s="102">
        <v>0</v>
      </c>
      <c r="K14" s="102">
        <v>0</v>
      </c>
      <c r="L14" s="102">
        <v>0</v>
      </c>
      <c r="M14" s="102">
        <v>0</v>
      </c>
      <c r="N14" s="86">
        <f t="shared" ref="N14:N15" si="0">SUM(B14:M14)</f>
        <v>2160</v>
      </c>
    </row>
    <row r="15" spans="1:14" s="42" customFormat="1" ht="15" customHeight="1" x14ac:dyDescent="0.25">
      <c r="A15" s="91" t="s">
        <v>219</v>
      </c>
      <c r="B15" s="85">
        <v>2000</v>
      </c>
      <c r="C15" s="86">
        <v>1500</v>
      </c>
      <c r="D15" s="86">
        <v>1000</v>
      </c>
      <c r="E15" s="86">
        <v>1940</v>
      </c>
      <c r="F15" s="86">
        <v>2340</v>
      </c>
      <c r="G15" s="87">
        <v>1980</v>
      </c>
      <c r="H15" s="86">
        <v>2080</v>
      </c>
      <c r="I15" s="87">
        <f>2340+660</f>
        <v>3000</v>
      </c>
      <c r="J15" s="86">
        <v>1240</v>
      </c>
      <c r="K15" s="86">
        <v>1260</v>
      </c>
      <c r="L15" s="86">
        <v>1600</v>
      </c>
      <c r="M15" s="86"/>
      <c r="N15" s="86">
        <f t="shared" si="0"/>
        <v>19940</v>
      </c>
    </row>
    <row r="16" spans="1:14" s="42" customFormat="1" ht="15" customHeight="1" x14ac:dyDescent="0.25">
      <c r="A16" s="83" t="s">
        <v>59</v>
      </c>
      <c r="B16" s="85">
        <v>0</v>
      </c>
      <c r="C16" s="86">
        <v>0</v>
      </c>
      <c r="D16" s="86">
        <v>20</v>
      </c>
      <c r="E16" s="86">
        <v>20</v>
      </c>
      <c r="F16" s="86">
        <v>100</v>
      </c>
      <c r="G16" s="87">
        <v>40</v>
      </c>
      <c r="H16" s="86">
        <v>40</v>
      </c>
      <c r="I16" s="96">
        <v>120</v>
      </c>
      <c r="J16" s="87">
        <v>20</v>
      </c>
      <c r="K16" s="86">
        <v>20</v>
      </c>
      <c r="L16" s="86">
        <v>40</v>
      </c>
      <c r="M16" s="86"/>
      <c r="N16" s="86">
        <f>SUM(B16:M16)</f>
        <v>420</v>
      </c>
    </row>
    <row r="17" spans="1:14" s="42" customFormat="1" ht="15" customHeight="1" x14ac:dyDescent="0.25">
      <c r="A17" s="91" t="s">
        <v>220</v>
      </c>
      <c r="B17" s="85">
        <v>2580</v>
      </c>
      <c r="C17" s="86">
        <v>1840</v>
      </c>
      <c r="D17" s="86">
        <v>1780</v>
      </c>
      <c r="E17" s="86">
        <v>3120</v>
      </c>
      <c r="F17" s="86">
        <v>3480</v>
      </c>
      <c r="G17" s="87">
        <v>2900</v>
      </c>
      <c r="H17" s="86">
        <v>2840</v>
      </c>
      <c r="I17" s="87">
        <f>4120+560</f>
        <v>4680</v>
      </c>
      <c r="J17" s="86">
        <v>1540</v>
      </c>
      <c r="K17" s="86">
        <v>1900</v>
      </c>
      <c r="L17" s="86">
        <v>2700</v>
      </c>
      <c r="M17" s="86"/>
      <c r="N17" s="86">
        <f>SUM(B17:M17)</f>
        <v>29360</v>
      </c>
    </row>
    <row r="18" spans="1:14" s="42" customFormat="1" ht="15" customHeight="1" x14ac:dyDescent="0.25">
      <c r="A18" s="83" t="s">
        <v>188</v>
      </c>
      <c r="B18" s="85">
        <v>0</v>
      </c>
      <c r="C18" s="86">
        <v>0</v>
      </c>
      <c r="D18" s="86">
        <v>25</v>
      </c>
      <c r="E18" s="86">
        <v>0</v>
      </c>
      <c r="F18" s="86">
        <v>20</v>
      </c>
      <c r="G18" s="87">
        <v>60</v>
      </c>
      <c r="H18" s="86">
        <v>60</v>
      </c>
      <c r="I18" s="96">
        <v>20</v>
      </c>
      <c r="J18" s="102">
        <v>0</v>
      </c>
      <c r="K18" s="102">
        <v>0</v>
      </c>
      <c r="L18" s="102">
        <v>0</v>
      </c>
      <c r="M18" s="102">
        <v>0</v>
      </c>
      <c r="N18" s="86">
        <f>SUM(B18:M18)</f>
        <v>185</v>
      </c>
    </row>
    <row r="19" spans="1:14" s="42" customFormat="1" ht="15" customHeight="1" x14ac:dyDescent="0.25">
      <c r="A19" s="83" t="s">
        <v>134</v>
      </c>
      <c r="B19" s="85">
        <v>0</v>
      </c>
      <c r="C19" s="86">
        <v>0</v>
      </c>
      <c r="D19" s="86">
        <v>0</v>
      </c>
      <c r="E19" s="86">
        <v>0</v>
      </c>
      <c r="F19" s="86">
        <v>0</v>
      </c>
      <c r="G19" s="87">
        <v>0</v>
      </c>
      <c r="H19" s="86">
        <v>0</v>
      </c>
      <c r="I19" s="87">
        <v>180</v>
      </c>
      <c r="J19" s="86">
        <v>187</v>
      </c>
      <c r="K19" s="86">
        <v>0</v>
      </c>
      <c r="L19" s="86">
        <v>0</v>
      </c>
      <c r="M19" s="86"/>
      <c r="N19" s="86">
        <f>SUM(B19:M19)</f>
        <v>367</v>
      </c>
    </row>
    <row r="20" spans="1:14" s="42" customFormat="1" ht="15" customHeight="1" x14ac:dyDescent="0.25">
      <c r="A20" s="83" t="s">
        <v>135</v>
      </c>
      <c r="B20" s="85">
        <v>0</v>
      </c>
      <c r="C20" s="86">
        <v>0</v>
      </c>
      <c r="D20" s="86">
        <v>0</v>
      </c>
      <c r="E20" s="86">
        <v>0</v>
      </c>
      <c r="F20" s="86">
        <v>0</v>
      </c>
      <c r="G20" s="87">
        <v>0</v>
      </c>
      <c r="H20" s="86">
        <v>0</v>
      </c>
      <c r="I20" s="87">
        <v>0</v>
      </c>
      <c r="J20" s="86">
        <v>0</v>
      </c>
      <c r="K20" s="86">
        <v>102</v>
      </c>
      <c r="L20" s="86">
        <v>25</v>
      </c>
      <c r="M20" s="86"/>
      <c r="N20" s="86">
        <f t="shared" ref="N20:N62" si="1">SUM(B20:M20)</f>
        <v>127</v>
      </c>
    </row>
    <row r="21" spans="1:14" s="42" customFormat="1" ht="15" customHeight="1" x14ac:dyDescent="0.25">
      <c r="A21" s="83" t="s">
        <v>199</v>
      </c>
      <c r="B21" s="85">
        <v>1875</v>
      </c>
      <c r="C21" s="86">
        <v>2200</v>
      </c>
      <c r="D21" s="86">
        <v>3250</v>
      </c>
      <c r="E21" s="86">
        <v>1750</v>
      </c>
      <c r="F21" s="86">
        <v>2875</v>
      </c>
      <c r="G21" s="87">
        <v>2325</v>
      </c>
      <c r="H21" s="86">
        <v>3725</v>
      </c>
      <c r="I21" s="87">
        <f>4550+20</f>
        <v>4570</v>
      </c>
      <c r="J21" s="86">
        <v>1400</v>
      </c>
      <c r="K21" s="86">
        <v>1300</v>
      </c>
      <c r="L21" s="86">
        <v>1325</v>
      </c>
      <c r="M21" s="86"/>
      <c r="N21" s="86">
        <f t="shared" si="1"/>
        <v>26595</v>
      </c>
    </row>
    <row r="22" spans="1:14" s="42" customFormat="1" ht="15" customHeight="1" x14ac:dyDescent="0.25">
      <c r="A22" s="83" t="s">
        <v>111</v>
      </c>
      <c r="B22" s="85">
        <v>0</v>
      </c>
      <c r="C22" s="86">
        <v>0</v>
      </c>
      <c r="D22" s="86">
        <v>0</v>
      </c>
      <c r="E22" s="86">
        <v>0</v>
      </c>
      <c r="F22" s="86">
        <v>1268</v>
      </c>
      <c r="G22" s="87">
        <v>2843</v>
      </c>
      <c r="H22" s="86">
        <v>4992</v>
      </c>
      <c r="I22" s="87">
        <f>2133+2043</f>
        <v>4176</v>
      </c>
      <c r="J22" s="86">
        <v>2265</v>
      </c>
      <c r="K22" s="86">
        <v>0</v>
      </c>
      <c r="L22" s="86">
        <v>0</v>
      </c>
      <c r="M22" s="86"/>
      <c r="N22" s="86">
        <f t="shared" si="1"/>
        <v>15544</v>
      </c>
    </row>
    <row r="23" spans="1:14" s="42" customFormat="1" ht="15" customHeight="1" x14ac:dyDescent="0.25">
      <c r="A23" s="83" t="s">
        <v>136</v>
      </c>
      <c r="B23" s="85">
        <v>1205</v>
      </c>
      <c r="C23" s="86">
        <v>1261</v>
      </c>
      <c r="D23" s="86">
        <v>1699</v>
      </c>
      <c r="E23" s="86">
        <v>1935</v>
      </c>
      <c r="F23" s="86">
        <v>1268</v>
      </c>
      <c r="G23" s="87">
        <v>0</v>
      </c>
      <c r="H23" s="86">
        <v>0</v>
      </c>
      <c r="I23" s="87">
        <v>0</v>
      </c>
      <c r="J23" s="86">
        <v>0</v>
      </c>
      <c r="K23" s="86">
        <v>1450</v>
      </c>
      <c r="L23" s="86">
        <v>1512</v>
      </c>
      <c r="M23" s="86"/>
      <c r="N23" s="86">
        <f t="shared" si="1"/>
        <v>10330</v>
      </c>
    </row>
    <row r="24" spans="1:14" s="42" customFormat="1" ht="15" customHeight="1" x14ac:dyDescent="0.25">
      <c r="A24" s="91" t="s">
        <v>221</v>
      </c>
      <c r="B24" s="85">
        <v>0</v>
      </c>
      <c r="C24" s="86">
        <v>0</v>
      </c>
      <c r="D24" s="86">
        <v>0</v>
      </c>
      <c r="E24" s="86">
        <v>0</v>
      </c>
      <c r="F24" s="86">
        <v>1044</v>
      </c>
      <c r="G24" s="87">
        <v>2511</v>
      </c>
      <c r="H24" s="86">
        <v>3354</v>
      </c>
      <c r="I24" s="87">
        <f>1466+1678</f>
        <v>3144</v>
      </c>
      <c r="J24" s="86">
        <v>2295</v>
      </c>
      <c r="K24" s="86">
        <v>1</v>
      </c>
      <c r="L24" s="86">
        <v>0</v>
      </c>
      <c r="M24" s="86"/>
      <c r="N24" s="86">
        <f t="shared" si="1"/>
        <v>12349</v>
      </c>
    </row>
    <row r="25" spans="1:14" s="42" customFormat="1" ht="15" customHeight="1" x14ac:dyDescent="0.25">
      <c r="A25" s="91" t="s">
        <v>222</v>
      </c>
      <c r="B25" s="85">
        <v>1935</v>
      </c>
      <c r="C25" s="86">
        <v>1657</v>
      </c>
      <c r="D25" s="86">
        <v>1008</v>
      </c>
      <c r="E25" s="86">
        <v>2376</v>
      </c>
      <c r="F25" s="86">
        <v>1396</v>
      </c>
      <c r="G25" s="87">
        <v>0</v>
      </c>
      <c r="H25" s="86">
        <v>0</v>
      </c>
      <c r="I25" s="87">
        <v>0</v>
      </c>
      <c r="J25" s="86">
        <v>0</v>
      </c>
      <c r="K25" s="86">
        <v>1882</v>
      </c>
      <c r="L25" s="86">
        <v>1902</v>
      </c>
      <c r="M25" s="86"/>
      <c r="N25" s="86">
        <f t="shared" si="1"/>
        <v>12156</v>
      </c>
    </row>
    <row r="26" spans="1:14" s="42" customFormat="1" ht="15" customHeight="1" x14ac:dyDescent="0.25">
      <c r="A26" s="83" t="s">
        <v>205</v>
      </c>
      <c r="B26" s="85">
        <v>0</v>
      </c>
      <c r="C26" s="86">
        <v>0</v>
      </c>
      <c r="D26" s="86">
        <v>1</v>
      </c>
      <c r="E26" s="86">
        <v>0</v>
      </c>
      <c r="F26" s="86">
        <v>0</v>
      </c>
      <c r="G26" s="87">
        <v>0</v>
      </c>
      <c r="H26" s="86">
        <v>1</v>
      </c>
      <c r="I26" s="87">
        <v>0</v>
      </c>
      <c r="J26" s="86">
        <v>0</v>
      </c>
      <c r="K26" s="86">
        <v>0</v>
      </c>
      <c r="L26" s="86">
        <v>0</v>
      </c>
      <c r="M26" s="86"/>
      <c r="N26" s="86">
        <f>SUM(B26:M26)</f>
        <v>2</v>
      </c>
    </row>
    <row r="27" spans="1:14" s="42" customFormat="1" ht="15" customHeight="1" x14ac:dyDescent="0.25">
      <c r="A27" s="83" t="s">
        <v>62</v>
      </c>
      <c r="B27" s="85">
        <v>0</v>
      </c>
      <c r="C27" s="86">
        <v>0</v>
      </c>
      <c r="D27" s="86">
        <v>0</v>
      </c>
      <c r="E27" s="86">
        <v>0</v>
      </c>
      <c r="F27" s="86">
        <v>1</v>
      </c>
      <c r="G27" s="87">
        <v>5</v>
      </c>
      <c r="H27" s="86">
        <v>1</v>
      </c>
      <c r="I27" s="87">
        <v>3</v>
      </c>
      <c r="J27" s="86">
        <v>27</v>
      </c>
      <c r="K27" s="86">
        <v>7</v>
      </c>
      <c r="L27" s="86">
        <v>2</v>
      </c>
      <c r="M27" s="86"/>
      <c r="N27" s="86">
        <f>SUM(B27:M27)</f>
        <v>46</v>
      </c>
    </row>
    <row r="28" spans="1:14" s="42" customFormat="1" ht="15" customHeight="1" x14ac:dyDescent="0.25">
      <c r="A28" s="83" t="s">
        <v>8</v>
      </c>
      <c r="B28" s="85">
        <v>0</v>
      </c>
      <c r="C28" s="86">
        <v>0</v>
      </c>
      <c r="D28" s="86">
        <v>0</v>
      </c>
      <c r="E28" s="86">
        <v>0</v>
      </c>
      <c r="F28" s="86">
        <v>0</v>
      </c>
      <c r="G28" s="87">
        <v>0</v>
      </c>
      <c r="H28" s="86">
        <v>0</v>
      </c>
      <c r="I28" s="97">
        <v>0</v>
      </c>
      <c r="J28" s="102">
        <v>0</v>
      </c>
      <c r="K28" s="102">
        <v>0</v>
      </c>
      <c r="L28" s="102">
        <v>0</v>
      </c>
      <c r="M28" s="102">
        <v>0</v>
      </c>
      <c r="N28" s="86">
        <f t="shared" si="1"/>
        <v>0</v>
      </c>
    </row>
    <row r="29" spans="1:14" s="42" customFormat="1" ht="15" customHeight="1" x14ac:dyDescent="0.25">
      <c r="A29" s="83" t="s">
        <v>138</v>
      </c>
      <c r="B29" s="85">
        <v>0</v>
      </c>
      <c r="C29" s="86">
        <v>0</v>
      </c>
      <c r="D29" s="86">
        <v>0</v>
      </c>
      <c r="E29" s="86">
        <v>0</v>
      </c>
      <c r="F29" s="86">
        <v>13</v>
      </c>
      <c r="G29" s="87">
        <v>18</v>
      </c>
      <c r="H29" s="86">
        <v>19</v>
      </c>
      <c r="I29" s="87">
        <f>9+19</f>
        <v>28</v>
      </c>
      <c r="J29" s="86">
        <v>48</v>
      </c>
      <c r="K29" s="86">
        <v>0</v>
      </c>
      <c r="L29" s="86">
        <v>0</v>
      </c>
      <c r="M29" s="86"/>
      <c r="N29" s="86">
        <f t="shared" si="1"/>
        <v>126</v>
      </c>
    </row>
    <row r="30" spans="1:14" s="42" customFormat="1" ht="15" customHeight="1" x14ac:dyDescent="0.25">
      <c r="A30" s="83" t="s">
        <v>139</v>
      </c>
      <c r="B30" s="85">
        <v>2</v>
      </c>
      <c r="C30" s="86">
        <v>2</v>
      </c>
      <c r="D30" s="86">
        <v>3</v>
      </c>
      <c r="E30" s="86">
        <v>20</v>
      </c>
      <c r="F30" s="86">
        <v>18</v>
      </c>
      <c r="G30" s="87">
        <v>0</v>
      </c>
      <c r="H30" s="86">
        <v>0</v>
      </c>
      <c r="I30" s="87">
        <v>0</v>
      </c>
      <c r="J30" s="86">
        <v>0</v>
      </c>
      <c r="K30" s="86">
        <v>11</v>
      </c>
      <c r="L30" s="86">
        <v>6</v>
      </c>
      <c r="M30" s="86"/>
      <c r="N30" s="86">
        <f t="shared" si="1"/>
        <v>62</v>
      </c>
    </row>
    <row r="31" spans="1:14" s="42" customFormat="1" ht="15" customHeight="1" x14ac:dyDescent="0.25">
      <c r="A31" s="83" t="s">
        <v>11</v>
      </c>
      <c r="B31" s="85">
        <v>19</v>
      </c>
      <c r="C31" s="86">
        <v>19</v>
      </c>
      <c r="D31" s="86">
        <v>22</v>
      </c>
      <c r="E31" s="86">
        <v>15</v>
      </c>
      <c r="F31" s="86">
        <v>21</v>
      </c>
      <c r="G31" s="87">
        <v>11</v>
      </c>
      <c r="H31" s="86">
        <v>0</v>
      </c>
      <c r="I31" s="97">
        <v>0</v>
      </c>
      <c r="J31" s="102">
        <v>0</v>
      </c>
      <c r="K31" s="102">
        <v>0</v>
      </c>
      <c r="L31" s="102">
        <v>0</v>
      </c>
      <c r="M31" s="102">
        <v>0</v>
      </c>
      <c r="N31" s="86">
        <f>SUM(B31:M31)</f>
        <v>107</v>
      </c>
    </row>
    <row r="32" spans="1:14" s="42" customFormat="1" ht="15" customHeight="1" x14ac:dyDescent="0.25">
      <c r="A32" s="83" t="s">
        <v>12</v>
      </c>
      <c r="B32" s="85">
        <v>0</v>
      </c>
      <c r="C32" s="86">
        <v>0</v>
      </c>
      <c r="D32" s="86">
        <v>0</v>
      </c>
      <c r="E32" s="86">
        <v>9</v>
      </c>
      <c r="F32" s="86">
        <v>7</v>
      </c>
      <c r="G32" s="87">
        <v>7</v>
      </c>
      <c r="H32" s="88">
        <v>2</v>
      </c>
      <c r="I32" s="87">
        <v>2</v>
      </c>
      <c r="J32" s="86">
        <v>4</v>
      </c>
      <c r="K32" s="86">
        <v>5</v>
      </c>
      <c r="L32" s="86">
        <v>11</v>
      </c>
      <c r="M32" s="86"/>
      <c r="N32" s="86">
        <f t="shared" si="1"/>
        <v>47</v>
      </c>
    </row>
    <row r="33" spans="1:14" s="42" customFormat="1" ht="15" customHeight="1" x14ac:dyDescent="0.25">
      <c r="A33" s="91" t="s">
        <v>223</v>
      </c>
      <c r="B33" s="85">
        <v>0</v>
      </c>
      <c r="C33" s="86">
        <v>0</v>
      </c>
      <c r="D33" s="86">
        <v>0</v>
      </c>
      <c r="E33" s="86">
        <v>0</v>
      </c>
      <c r="F33" s="86">
        <v>290</v>
      </c>
      <c r="G33" s="87">
        <v>823</v>
      </c>
      <c r="H33" s="86">
        <v>948</v>
      </c>
      <c r="I33" s="87">
        <f>442+474</f>
        <v>916</v>
      </c>
      <c r="J33" s="86">
        <v>687</v>
      </c>
      <c r="K33" s="86">
        <v>0</v>
      </c>
      <c r="L33" s="86">
        <v>0</v>
      </c>
      <c r="M33" s="86"/>
      <c r="N33" s="86">
        <f>SUM(B33:M33)</f>
        <v>3664</v>
      </c>
    </row>
    <row r="34" spans="1:14" s="42" customFormat="1" ht="15" customHeight="1" x14ac:dyDescent="0.25">
      <c r="A34" s="91" t="s">
        <v>224</v>
      </c>
      <c r="B34" s="85">
        <v>547</v>
      </c>
      <c r="C34" s="86">
        <v>433</v>
      </c>
      <c r="D34" s="86">
        <v>251</v>
      </c>
      <c r="E34" s="86">
        <v>661</v>
      </c>
      <c r="F34" s="86">
        <v>450</v>
      </c>
      <c r="G34" s="87">
        <v>0</v>
      </c>
      <c r="H34" s="86">
        <v>0</v>
      </c>
      <c r="I34" s="87">
        <v>0</v>
      </c>
      <c r="J34" s="86">
        <v>0</v>
      </c>
      <c r="K34" s="86">
        <v>651</v>
      </c>
      <c r="L34" s="86">
        <v>625</v>
      </c>
      <c r="M34" s="86"/>
      <c r="N34" s="86">
        <f>SUM(B34:M34)</f>
        <v>3618</v>
      </c>
    </row>
    <row r="35" spans="1:14" s="42" customFormat="1" ht="15" customHeight="1" x14ac:dyDescent="0.25">
      <c r="A35" s="83" t="s">
        <v>184</v>
      </c>
      <c r="B35" s="85">
        <v>0</v>
      </c>
      <c r="C35" s="86">
        <v>0</v>
      </c>
      <c r="D35" s="86">
        <v>0</v>
      </c>
      <c r="E35" s="86">
        <v>0</v>
      </c>
      <c r="F35" s="86">
        <v>645</v>
      </c>
      <c r="G35" s="87">
        <v>1804</v>
      </c>
      <c r="H35" s="86">
        <v>3206</v>
      </c>
      <c r="I35" s="87">
        <f>1265+786</f>
        <v>2051</v>
      </c>
      <c r="J35" s="86">
        <v>777</v>
      </c>
      <c r="K35" s="86">
        <v>0</v>
      </c>
      <c r="L35" s="86">
        <v>0</v>
      </c>
      <c r="M35" s="86"/>
      <c r="N35" s="86">
        <f>SUM(B35:M35)</f>
        <v>8483</v>
      </c>
    </row>
    <row r="36" spans="1:14" s="42" customFormat="1" ht="15" customHeight="1" x14ac:dyDescent="0.25">
      <c r="A36" s="83" t="s">
        <v>183</v>
      </c>
      <c r="B36" s="85">
        <v>531</v>
      </c>
      <c r="C36" s="86">
        <v>507</v>
      </c>
      <c r="D36" s="86">
        <v>609</v>
      </c>
      <c r="E36" s="86">
        <v>956</v>
      </c>
      <c r="F36" s="86">
        <v>608</v>
      </c>
      <c r="G36" s="87">
        <v>0</v>
      </c>
      <c r="H36" s="86">
        <v>0</v>
      </c>
      <c r="I36" s="87">
        <v>0</v>
      </c>
      <c r="J36" s="86">
        <v>0</v>
      </c>
      <c r="K36" s="86">
        <v>483</v>
      </c>
      <c r="L36" s="86">
        <v>434</v>
      </c>
      <c r="M36" s="86"/>
      <c r="N36" s="86">
        <f>SUM(B36:M36)</f>
        <v>4128</v>
      </c>
    </row>
    <row r="37" spans="1:14" s="42" customFormat="1" ht="15" customHeight="1" x14ac:dyDescent="0.25">
      <c r="A37" s="83" t="s">
        <v>140</v>
      </c>
      <c r="B37" s="85">
        <v>0</v>
      </c>
      <c r="C37" s="86">
        <v>0</v>
      </c>
      <c r="D37" s="86">
        <v>0</v>
      </c>
      <c r="E37" s="86">
        <v>0</v>
      </c>
      <c r="F37" s="86">
        <v>5</v>
      </c>
      <c r="G37" s="87">
        <v>12</v>
      </c>
      <c r="H37" s="86">
        <v>17</v>
      </c>
      <c r="I37" s="97">
        <v>9</v>
      </c>
      <c r="J37" s="102">
        <v>0</v>
      </c>
      <c r="K37" s="102">
        <v>0</v>
      </c>
      <c r="L37" s="102">
        <v>0</v>
      </c>
      <c r="M37" s="102">
        <v>0</v>
      </c>
      <c r="N37" s="86">
        <f t="shared" si="1"/>
        <v>43</v>
      </c>
    </row>
    <row r="38" spans="1:14" s="42" customFormat="1" ht="15" customHeight="1" x14ac:dyDescent="0.25">
      <c r="A38" s="83" t="s">
        <v>141</v>
      </c>
      <c r="B38" s="85">
        <v>0</v>
      </c>
      <c r="C38" s="86">
        <v>0</v>
      </c>
      <c r="D38" s="86">
        <v>0</v>
      </c>
      <c r="E38" s="86">
        <v>1</v>
      </c>
      <c r="F38" s="86">
        <v>2</v>
      </c>
      <c r="G38" s="87">
        <v>0</v>
      </c>
      <c r="H38" s="86">
        <v>0</v>
      </c>
      <c r="I38" s="97">
        <v>0</v>
      </c>
      <c r="J38" s="102">
        <v>0</v>
      </c>
      <c r="K38" s="102">
        <v>0</v>
      </c>
      <c r="L38" s="102">
        <v>0</v>
      </c>
      <c r="M38" s="102">
        <v>0</v>
      </c>
      <c r="N38" s="86">
        <f t="shared" si="1"/>
        <v>3</v>
      </c>
    </row>
    <row r="39" spans="1:14" s="42" customFormat="1" ht="15" customHeight="1" x14ac:dyDescent="0.25">
      <c r="A39" s="83" t="s">
        <v>202</v>
      </c>
      <c r="B39" s="85">
        <v>1575</v>
      </c>
      <c r="C39" s="86">
        <v>2625</v>
      </c>
      <c r="D39" s="86">
        <v>2450</v>
      </c>
      <c r="E39" s="86">
        <v>2450</v>
      </c>
      <c r="F39" s="86">
        <v>3000</v>
      </c>
      <c r="G39" s="87">
        <v>2525</v>
      </c>
      <c r="H39" s="86">
        <v>3425</v>
      </c>
      <c r="I39" s="87">
        <f>5750+250</f>
        <v>6000</v>
      </c>
      <c r="J39" s="86">
        <v>1125</v>
      </c>
      <c r="K39" s="86">
        <v>1100</v>
      </c>
      <c r="L39" s="86">
        <v>1125</v>
      </c>
      <c r="M39" s="86"/>
      <c r="N39" s="86">
        <f>SUM(B39:M39)</f>
        <v>27400</v>
      </c>
    </row>
    <row r="40" spans="1:14" s="42" customFormat="1" ht="15" customHeight="1" x14ac:dyDescent="0.25">
      <c r="A40" s="83" t="s">
        <v>116</v>
      </c>
      <c r="B40" s="85">
        <v>0</v>
      </c>
      <c r="C40" s="86">
        <v>0</v>
      </c>
      <c r="D40" s="86">
        <v>0</v>
      </c>
      <c r="E40" s="86">
        <v>0</v>
      </c>
      <c r="F40" s="86">
        <v>0</v>
      </c>
      <c r="G40" s="87">
        <v>0</v>
      </c>
      <c r="H40" s="86">
        <v>0</v>
      </c>
      <c r="I40" s="87">
        <v>103</v>
      </c>
      <c r="J40" s="86">
        <v>192</v>
      </c>
      <c r="K40" s="86">
        <v>0</v>
      </c>
      <c r="L40" s="86">
        <v>0</v>
      </c>
      <c r="M40" s="86"/>
      <c r="N40" s="86">
        <f>SUM(B40:M40)</f>
        <v>295</v>
      </c>
    </row>
    <row r="41" spans="1:14" s="42" customFormat="1" ht="15" customHeight="1" x14ac:dyDescent="0.25">
      <c r="A41" s="83" t="s">
        <v>142</v>
      </c>
      <c r="B41" s="85">
        <v>0</v>
      </c>
      <c r="C41" s="86">
        <v>0</v>
      </c>
      <c r="D41" s="86">
        <v>0</v>
      </c>
      <c r="E41" s="86">
        <v>0</v>
      </c>
      <c r="F41" s="86">
        <v>0</v>
      </c>
      <c r="G41" s="87">
        <v>0</v>
      </c>
      <c r="H41" s="86">
        <v>0</v>
      </c>
      <c r="I41" s="87">
        <v>0</v>
      </c>
      <c r="J41" s="86">
        <v>0</v>
      </c>
      <c r="K41" s="86">
        <v>82</v>
      </c>
      <c r="L41" s="86">
        <v>15</v>
      </c>
      <c r="M41" s="86"/>
      <c r="N41" s="86">
        <f>SUM(B41:M41)</f>
        <v>97</v>
      </c>
    </row>
    <row r="42" spans="1:14" s="42" customFormat="1" ht="15" customHeight="1" x14ac:dyDescent="0.25">
      <c r="A42" s="83" t="s">
        <v>91</v>
      </c>
      <c r="B42" s="85">
        <v>0</v>
      </c>
      <c r="C42" s="86">
        <v>0</v>
      </c>
      <c r="D42" s="86">
        <v>0</v>
      </c>
      <c r="E42" s="86">
        <v>0</v>
      </c>
      <c r="F42" s="86">
        <v>0</v>
      </c>
      <c r="G42" s="87">
        <v>0</v>
      </c>
      <c r="H42" s="86">
        <v>0</v>
      </c>
      <c r="I42" s="97">
        <v>0</v>
      </c>
      <c r="J42" s="102">
        <v>0</v>
      </c>
      <c r="K42" s="102">
        <v>0</v>
      </c>
      <c r="L42" s="102">
        <v>0</v>
      </c>
      <c r="M42" s="102">
        <v>0</v>
      </c>
      <c r="N42" s="86">
        <f>SUM(B42:M42)</f>
        <v>0</v>
      </c>
    </row>
    <row r="43" spans="1:14" s="42" customFormat="1" ht="15" customHeight="1" x14ac:dyDescent="0.25">
      <c r="A43" s="83" t="s">
        <v>118</v>
      </c>
      <c r="B43" s="85">
        <v>0</v>
      </c>
      <c r="C43" s="86">
        <v>0</v>
      </c>
      <c r="D43" s="86">
        <v>0</v>
      </c>
      <c r="E43" s="86">
        <v>0</v>
      </c>
      <c r="F43" s="86">
        <v>70</v>
      </c>
      <c r="G43" s="87">
        <v>230</v>
      </c>
      <c r="H43" s="86">
        <v>224</v>
      </c>
      <c r="I43" s="97">
        <v>99</v>
      </c>
      <c r="J43" s="102">
        <v>0</v>
      </c>
      <c r="K43" s="102">
        <v>0</v>
      </c>
      <c r="L43" s="102">
        <v>0</v>
      </c>
      <c r="M43" s="102">
        <v>0</v>
      </c>
      <c r="N43" s="86">
        <f t="shared" si="1"/>
        <v>623</v>
      </c>
    </row>
    <row r="44" spans="1:14" s="42" customFormat="1" ht="15" customHeight="1" x14ac:dyDescent="0.25">
      <c r="A44" s="83" t="s">
        <v>147</v>
      </c>
      <c r="B44" s="85">
        <v>156</v>
      </c>
      <c r="C44" s="86">
        <v>165</v>
      </c>
      <c r="D44" s="86">
        <v>106</v>
      </c>
      <c r="E44" s="86">
        <v>213</v>
      </c>
      <c r="F44" s="86">
        <v>136</v>
      </c>
      <c r="G44" s="87">
        <v>0</v>
      </c>
      <c r="H44" s="86">
        <v>0</v>
      </c>
      <c r="I44" s="97">
        <v>0</v>
      </c>
      <c r="J44" s="102">
        <v>0</v>
      </c>
      <c r="K44" s="102">
        <v>0</v>
      </c>
      <c r="L44" s="102">
        <v>0</v>
      </c>
      <c r="M44" s="102">
        <v>0</v>
      </c>
      <c r="N44" s="86">
        <f t="shared" si="1"/>
        <v>776</v>
      </c>
    </row>
    <row r="45" spans="1:14" s="42" customFormat="1" ht="15" customHeight="1" x14ac:dyDescent="0.25">
      <c r="A45" s="83" t="s">
        <v>119</v>
      </c>
      <c r="B45" s="85">
        <v>0</v>
      </c>
      <c r="C45" s="86">
        <v>0</v>
      </c>
      <c r="D45" s="86">
        <v>0</v>
      </c>
      <c r="E45" s="86">
        <v>0</v>
      </c>
      <c r="F45" s="86">
        <v>28</v>
      </c>
      <c r="G45" s="87">
        <v>82</v>
      </c>
      <c r="H45" s="86">
        <v>94</v>
      </c>
      <c r="I45" s="87">
        <f>37+90</f>
        <v>127</v>
      </c>
      <c r="J45" s="86">
        <v>150</v>
      </c>
      <c r="K45" s="86">
        <v>0</v>
      </c>
      <c r="L45" s="86">
        <v>0</v>
      </c>
      <c r="M45" s="86"/>
      <c r="N45" s="86">
        <f t="shared" si="1"/>
        <v>481</v>
      </c>
    </row>
    <row r="46" spans="1:14" s="42" customFormat="1" ht="15" customHeight="1" x14ac:dyDescent="0.25">
      <c r="A46" s="83" t="s">
        <v>148</v>
      </c>
      <c r="B46" s="85">
        <v>53</v>
      </c>
      <c r="C46" s="86">
        <v>71</v>
      </c>
      <c r="D46" s="86">
        <v>38</v>
      </c>
      <c r="E46" s="86">
        <v>81</v>
      </c>
      <c r="F46" s="86">
        <v>46</v>
      </c>
      <c r="G46" s="87">
        <v>0</v>
      </c>
      <c r="H46" s="86">
        <v>0</v>
      </c>
      <c r="I46" s="87">
        <v>0</v>
      </c>
      <c r="J46" s="86">
        <v>0</v>
      </c>
      <c r="K46" s="86">
        <v>91</v>
      </c>
      <c r="L46" s="86">
        <v>84</v>
      </c>
      <c r="M46" s="86"/>
      <c r="N46" s="86">
        <f t="shared" si="1"/>
        <v>464</v>
      </c>
    </row>
    <row r="47" spans="1:14" s="42" customFormat="1" ht="15" customHeight="1" x14ac:dyDescent="0.25">
      <c r="A47" s="83" t="s">
        <v>120</v>
      </c>
      <c r="B47" s="85">
        <v>0</v>
      </c>
      <c r="C47" s="86">
        <v>0</v>
      </c>
      <c r="D47" s="86">
        <v>0</v>
      </c>
      <c r="E47" s="86">
        <v>0</v>
      </c>
      <c r="F47" s="86">
        <v>33</v>
      </c>
      <c r="G47" s="87">
        <v>108</v>
      </c>
      <c r="H47" s="86">
        <v>114</v>
      </c>
      <c r="I47" s="97">
        <v>59</v>
      </c>
      <c r="J47" s="102">
        <v>0</v>
      </c>
      <c r="K47" s="102">
        <v>0</v>
      </c>
      <c r="L47" s="102">
        <v>0</v>
      </c>
      <c r="M47" s="102">
        <v>0</v>
      </c>
      <c r="N47" s="86">
        <f t="shared" si="1"/>
        <v>314</v>
      </c>
    </row>
    <row r="48" spans="1:14" s="42" customFormat="1" ht="15" customHeight="1" x14ac:dyDescent="0.25">
      <c r="A48" s="83" t="s">
        <v>149</v>
      </c>
      <c r="B48" s="85">
        <v>61</v>
      </c>
      <c r="C48" s="86">
        <v>72</v>
      </c>
      <c r="D48" s="86">
        <v>56</v>
      </c>
      <c r="E48" s="86">
        <v>110</v>
      </c>
      <c r="F48" s="86">
        <v>81</v>
      </c>
      <c r="G48" s="87">
        <v>0</v>
      </c>
      <c r="H48" s="86">
        <v>0</v>
      </c>
      <c r="I48" s="97">
        <v>0</v>
      </c>
      <c r="J48" s="102">
        <v>0</v>
      </c>
      <c r="K48" s="102">
        <v>0</v>
      </c>
      <c r="L48" s="102">
        <v>0</v>
      </c>
      <c r="M48" s="102">
        <v>0</v>
      </c>
      <c r="N48" s="86">
        <f t="shared" si="1"/>
        <v>380</v>
      </c>
    </row>
    <row r="49" spans="1:14" s="42" customFormat="1" ht="15" customHeight="1" x14ac:dyDescent="0.25">
      <c r="A49" s="83" t="s">
        <v>121</v>
      </c>
      <c r="B49" s="85">
        <v>0</v>
      </c>
      <c r="C49" s="86">
        <v>0</v>
      </c>
      <c r="D49" s="86">
        <v>0</v>
      </c>
      <c r="E49" s="86">
        <v>0</v>
      </c>
      <c r="F49" s="86">
        <v>21</v>
      </c>
      <c r="G49" s="87">
        <v>66</v>
      </c>
      <c r="H49" s="86">
        <v>76</v>
      </c>
      <c r="I49" s="87">
        <f>66+81</f>
        <v>147</v>
      </c>
      <c r="J49" s="86">
        <v>108</v>
      </c>
      <c r="K49" s="86">
        <v>0</v>
      </c>
      <c r="L49" s="86">
        <v>0</v>
      </c>
      <c r="M49" s="86"/>
      <c r="N49" s="86">
        <f t="shared" si="1"/>
        <v>418</v>
      </c>
    </row>
    <row r="50" spans="1:14" s="42" customFormat="1" ht="15" customHeight="1" x14ac:dyDescent="0.25">
      <c r="A50" s="83" t="s">
        <v>150</v>
      </c>
      <c r="B50" s="85">
        <v>39</v>
      </c>
      <c r="C50" s="86">
        <v>46</v>
      </c>
      <c r="D50" s="86">
        <v>27</v>
      </c>
      <c r="E50" s="86">
        <v>46</v>
      </c>
      <c r="F50" s="86">
        <v>43</v>
      </c>
      <c r="G50" s="87">
        <v>0</v>
      </c>
      <c r="H50" s="86">
        <v>0</v>
      </c>
      <c r="I50" s="87">
        <v>0</v>
      </c>
      <c r="J50" s="86">
        <v>0</v>
      </c>
      <c r="K50" s="86">
        <v>110</v>
      </c>
      <c r="L50" s="86">
        <v>87</v>
      </c>
      <c r="M50" s="86"/>
      <c r="N50" s="86">
        <f t="shared" si="1"/>
        <v>398</v>
      </c>
    </row>
    <row r="51" spans="1:14" s="42" customFormat="1" ht="15" customHeight="1" x14ac:dyDescent="0.25">
      <c r="A51" s="83" t="s">
        <v>122</v>
      </c>
      <c r="B51" s="85">
        <v>0</v>
      </c>
      <c r="C51" s="86">
        <v>0</v>
      </c>
      <c r="D51" s="86">
        <v>0</v>
      </c>
      <c r="E51" s="86">
        <v>0</v>
      </c>
      <c r="F51" s="86">
        <v>14</v>
      </c>
      <c r="G51" s="87">
        <v>36</v>
      </c>
      <c r="H51" s="86">
        <v>43</v>
      </c>
      <c r="I51" s="97">
        <v>20</v>
      </c>
      <c r="J51" s="102">
        <v>0</v>
      </c>
      <c r="K51" s="102">
        <v>0</v>
      </c>
      <c r="L51" s="102">
        <v>0</v>
      </c>
      <c r="M51" s="102">
        <v>0</v>
      </c>
      <c r="N51" s="86">
        <f t="shared" si="1"/>
        <v>113</v>
      </c>
    </row>
    <row r="52" spans="1:14" s="42" customFormat="1" ht="15" customHeight="1" x14ac:dyDescent="0.25">
      <c r="A52" s="83" t="s">
        <v>151</v>
      </c>
      <c r="B52" s="85">
        <v>10</v>
      </c>
      <c r="C52" s="86">
        <v>15</v>
      </c>
      <c r="D52" s="86">
        <v>9</v>
      </c>
      <c r="E52" s="86">
        <v>25</v>
      </c>
      <c r="F52" s="86">
        <v>17</v>
      </c>
      <c r="G52" s="87">
        <v>0</v>
      </c>
      <c r="H52" s="86">
        <v>0</v>
      </c>
      <c r="I52" s="97">
        <v>0</v>
      </c>
      <c r="J52" s="102">
        <v>0</v>
      </c>
      <c r="K52" s="102">
        <v>0</v>
      </c>
      <c r="L52" s="102">
        <v>0</v>
      </c>
      <c r="M52" s="102">
        <v>0</v>
      </c>
      <c r="N52" s="86">
        <f t="shared" si="1"/>
        <v>76</v>
      </c>
    </row>
    <row r="53" spans="1:14" s="42" customFormat="1" ht="15" customHeight="1" x14ac:dyDescent="0.25">
      <c r="A53" s="83" t="s">
        <v>123</v>
      </c>
      <c r="B53" s="85">
        <v>0</v>
      </c>
      <c r="C53" s="86">
        <v>0</v>
      </c>
      <c r="D53" s="86">
        <v>0</v>
      </c>
      <c r="E53" s="86">
        <v>0</v>
      </c>
      <c r="F53" s="86">
        <v>9</v>
      </c>
      <c r="G53" s="87">
        <v>12</v>
      </c>
      <c r="H53" s="86">
        <v>17</v>
      </c>
      <c r="I53" s="87">
        <f>7+29</f>
        <v>36</v>
      </c>
      <c r="J53" s="86">
        <v>40</v>
      </c>
      <c r="K53" s="86">
        <v>0</v>
      </c>
      <c r="L53" s="86">
        <v>0</v>
      </c>
      <c r="M53" s="86"/>
      <c r="N53" s="86">
        <f t="shared" si="1"/>
        <v>114</v>
      </c>
    </row>
    <row r="54" spans="1:14" s="42" customFormat="1" ht="15" customHeight="1" x14ac:dyDescent="0.25">
      <c r="A54" s="83" t="s">
        <v>152</v>
      </c>
      <c r="B54" s="85">
        <v>9</v>
      </c>
      <c r="C54" s="86">
        <v>7</v>
      </c>
      <c r="D54" s="86">
        <v>4</v>
      </c>
      <c r="E54" s="86">
        <v>15</v>
      </c>
      <c r="F54" s="86">
        <v>8</v>
      </c>
      <c r="G54" s="87">
        <v>0</v>
      </c>
      <c r="H54" s="86">
        <v>0</v>
      </c>
      <c r="I54" s="87">
        <v>0</v>
      </c>
      <c r="J54" s="86">
        <v>0</v>
      </c>
      <c r="K54" s="86">
        <v>43</v>
      </c>
      <c r="L54" s="86">
        <v>17</v>
      </c>
      <c r="M54" s="86"/>
      <c r="N54" s="86">
        <f t="shared" si="1"/>
        <v>103</v>
      </c>
    </row>
    <row r="55" spans="1:14" s="42" customFormat="1" ht="15" customHeight="1" x14ac:dyDescent="0.25">
      <c r="A55" s="83" t="s">
        <v>124</v>
      </c>
      <c r="B55" s="85">
        <v>0</v>
      </c>
      <c r="C55" s="86">
        <v>0</v>
      </c>
      <c r="D55" s="86">
        <v>0</v>
      </c>
      <c r="E55" s="86">
        <v>0</v>
      </c>
      <c r="F55" s="86">
        <v>1</v>
      </c>
      <c r="G55" s="87">
        <v>5</v>
      </c>
      <c r="H55" s="86">
        <v>9</v>
      </c>
      <c r="I55" s="97">
        <v>1</v>
      </c>
      <c r="J55" s="102">
        <v>0</v>
      </c>
      <c r="K55" s="102">
        <v>0</v>
      </c>
      <c r="L55" s="102">
        <v>0</v>
      </c>
      <c r="M55" s="102">
        <v>0</v>
      </c>
      <c r="N55" s="86">
        <f t="shared" si="1"/>
        <v>16</v>
      </c>
    </row>
    <row r="56" spans="1:14" s="42" customFormat="1" ht="15" customHeight="1" x14ac:dyDescent="0.25">
      <c r="A56" s="83" t="s">
        <v>153</v>
      </c>
      <c r="B56" s="85">
        <v>2</v>
      </c>
      <c r="C56" s="86">
        <v>3</v>
      </c>
      <c r="D56" s="86">
        <v>2</v>
      </c>
      <c r="E56" s="86">
        <v>8</v>
      </c>
      <c r="F56" s="86">
        <v>2</v>
      </c>
      <c r="G56" s="87">
        <v>0</v>
      </c>
      <c r="H56" s="86">
        <v>0</v>
      </c>
      <c r="I56" s="97">
        <v>0</v>
      </c>
      <c r="J56" s="102">
        <v>0</v>
      </c>
      <c r="K56" s="102">
        <v>0</v>
      </c>
      <c r="L56" s="102">
        <v>0</v>
      </c>
      <c r="M56" s="102">
        <v>0</v>
      </c>
      <c r="N56" s="86">
        <f t="shared" si="1"/>
        <v>17</v>
      </c>
    </row>
    <row r="57" spans="1:14" s="42" customFormat="1" ht="15" customHeight="1" x14ac:dyDescent="0.25">
      <c r="A57" s="83" t="s">
        <v>125</v>
      </c>
      <c r="B57" s="85">
        <v>0</v>
      </c>
      <c r="C57" s="86">
        <v>0</v>
      </c>
      <c r="D57" s="86">
        <v>0</v>
      </c>
      <c r="E57" s="86">
        <v>0</v>
      </c>
      <c r="F57" s="86">
        <v>1</v>
      </c>
      <c r="G57" s="87">
        <v>4</v>
      </c>
      <c r="H57" s="86">
        <v>4</v>
      </c>
      <c r="I57" s="87">
        <v>4</v>
      </c>
      <c r="J57" s="86">
        <v>7</v>
      </c>
      <c r="K57" s="86">
        <v>0</v>
      </c>
      <c r="L57" s="86">
        <v>0</v>
      </c>
      <c r="M57" s="86"/>
      <c r="N57" s="86">
        <f t="shared" si="1"/>
        <v>20</v>
      </c>
    </row>
    <row r="58" spans="1:14" s="42" customFormat="1" ht="15" customHeight="1" x14ac:dyDescent="0.25">
      <c r="A58" s="83" t="s">
        <v>154</v>
      </c>
      <c r="B58" s="85">
        <v>1</v>
      </c>
      <c r="C58" s="86">
        <v>2</v>
      </c>
      <c r="D58" s="86">
        <v>2</v>
      </c>
      <c r="E58" s="86">
        <v>1</v>
      </c>
      <c r="F58" s="86">
        <v>1</v>
      </c>
      <c r="G58" s="87">
        <v>0</v>
      </c>
      <c r="H58" s="86">
        <v>0</v>
      </c>
      <c r="I58" s="87">
        <v>0</v>
      </c>
      <c r="J58" s="86">
        <v>0</v>
      </c>
      <c r="K58" s="86">
        <v>7</v>
      </c>
      <c r="L58" s="86">
        <v>15</v>
      </c>
      <c r="M58" s="86"/>
      <c r="N58" s="86">
        <f t="shared" si="1"/>
        <v>29</v>
      </c>
    </row>
    <row r="59" spans="1:14" s="42" customFormat="1" ht="15" customHeight="1" x14ac:dyDescent="0.25">
      <c r="A59" s="83" t="s">
        <v>126</v>
      </c>
      <c r="B59" s="85">
        <v>0</v>
      </c>
      <c r="C59" s="86">
        <v>0</v>
      </c>
      <c r="D59" s="86">
        <v>0</v>
      </c>
      <c r="E59" s="86">
        <v>0</v>
      </c>
      <c r="F59" s="86">
        <v>2</v>
      </c>
      <c r="G59" s="87">
        <v>11</v>
      </c>
      <c r="H59" s="86">
        <v>5</v>
      </c>
      <c r="I59" s="97">
        <v>1</v>
      </c>
      <c r="J59" s="102">
        <v>0</v>
      </c>
      <c r="K59" s="102">
        <v>0</v>
      </c>
      <c r="L59" s="102">
        <v>0</v>
      </c>
      <c r="M59" s="102">
        <v>0</v>
      </c>
      <c r="N59" s="86">
        <f t="shared" si="1"/>
        <v>19</v>
      </c>
    </row>
    <row r="60" spans="1:14" s="42" customFormat="1" ht="15" customHeight="1" x14ac:dyDescent="0.25">
      <c r="A60" s="83" t="s">
        <v>155</v>
      </c>
      <c r="B60" s="85">
        <v>2</v>
      </c>
      <c r="C60" s="86">
        <v>2</v>
      </c>
      <c r="D60" s="86">
        <v>0</v>
      </c>
      <c r="E60" s="86">
        <v>8</v>
      </c>
      <c r="F60" s="86">
        <v>4</v>
      </c>
      <c r="G60" s="87">
        <v>0</v>
      </c>
      <c r="H60" s="86">
        <v>0</v>
      </c>
      <c r="I60" s="97">
        <v>0</v>
      </c>
      <c r="J60" s="102">
        <v>0</v>
      </c>
      <c r="K60" s="102">
        <v>0</v>
      </c>
      <c r="L60" s="102">
        <v>0</v>
      </c>
      <c r="M60" s="102">
        <v>0</v>
      </c>
      <c r="N60" s="86">
        <f t="shared" si="1"/>
        <v>16</v>
      </c>
    </row>
    <row r="61" spans="1:14" s="42" customFormat="1" ht="15" customHeight="1" x14ac:dyDescent="0.25">
      <c r="A61" s="78" t="s">
        <v>77</v>
      </c>
      <c r="B61" s="89">
        <v>19</v>
      </c>
      <c r="C61" s="86">
        <v>19</v>
      </c>
      <c r="D61" s="86">
        <v>22</v>
      </c>
      <c r="E61" s="86">
        <v>15</v>
      </c>
      <c r="F61" s="86">
        <v>21</v>
      </c>
      <c r="G61" s="86">
        <v>11</v>
      </c>
      <c r="H61" s="86">
        <v>0</v>
      </c>
      <c r="I61" s="97">
        <v>0</v>
      </c>
      <c r="J61" s="102">
        <v>0</v>
      </c>
      <c r="K61" s="102">
        <v>0</v>
      </c>
      <c r="L61" s="102">
        <v>0</v>
      </c>
      <c r="M61" s="102">
        <v>0</v>
      </c>
      <c r="N61" s="87">
        <f t="shared" si="1"/>
        <v>107</v>
      </c>
    </row>
    <row r="62" spans="1:14" s="42" customFormat="1" ht="15" customHeight="1" x14ac:dyDescent="0.25">
      <c r="A62" s="78" t="s">
        <v>26</v>
      </c>
      <c r="B62" s="89">
        <v>708</v>
      </c>
      <c r="C62" s="86">
        <v>648</v>
      </c>
      <c r="D62" s="86">
        <v>664</v>
      </c>
      <c r="E62" s="86">
        <v>668</v>
      </c>
      <c r="F62" s="86">
        <v>714</v>
      </c>
      <c r="G62" s="86">
        <v>729</v>
      </c>
      <c r="H62" s="86">
        <v>751</v>
      </c>
      <c r="I62" s="87">
        <f>345+415</f>
        <v>760</v>
      </c>
      <c r="J62" s="86">
        <v>714</v>
      </c>
      <c r="K62" s="86">
        <v>701</v>
      </c>
      <c r="L62" s="86">
        <v>693</v>
      </c>
      <c r="M62" s="86"/>
      <c r="N62" s="87">
        <f t="shared" si="1"/>
        <v>7750</v>
      </c>
    </row>
    <row r="63" spans="1:14" s="42" customFormat="1" ht="15" customHeight="1" x14ac:dyDescent="0.25">
      <c r="A63" s="78" t="s">
        <v>225</v>
      </c>
      <c r="B63" s="87">
        <v>0</v>
      </c>
      <c r="C63" s="86">
        <v>0</v>
      </c>
      <c r="D63" s="86">
        <v>0</v>
      </c>
      <c r="E63" s="86">
        <v>0</v>
      </c>
      <c r="F63" s="86">
        <v>0</v>
      </c>
      <c r="G63" s="86">
        <v>0</v>
      </c>
      <c r="H63" s="86">
        <v>0</v>
      </c>
      <c r="I63" s="103">
        <v>425</v>
      </c>
      <c r="J63" s="86">
        <v>393</v>
      </c>
      <c r="K63" s="86">
        <v>266</v>
      </c>
      <c r="L63" s="86">
        <v>339</v>
      </c>
      <c r="M63" s="86"/>
      <c r="N63" s="87"/>
    </row>
    <row r="64" spans="1:14" s="42" customFormat="1" ht="15" customHeight="1" x14ac:dyDescent="0.25">
      <c r="A64" s="75" t="s">
        <v>158</v>
      </c>
      <c r="B64" s="42">
        <f t="shared" ref="B64:H64" si="2">SUM(B13:B62)</f>
        <v>13409</v>
      </c>
      <c r="C64" s="42">
        <f t="shared" si="2"/>
        <v>13554</v>
      </c>
      <c r="D64" s="42">
        <f t="shared" si="2"/>
        <v>13418</v>
      </c>
      <c r="E64" s="42">
        <f t="shared" si="2"/>
        <v>16773</v>
      </c>
      <c r="F64" s="42">
        <f t="shared" si="2"/>
        <v>20553</v>
      </c>
      <c r="G64" s="42">
        <f t="shared" si="2"/>
        <v>19798</v>
      </c>
      <c r="H64" s="42">
        <f t="shared" si="2"/>
        <v>26537</v>
      </c>
      <c r="I64" s="98">
        <f>SUM(I4:I63)</f>
        <v>32381</v>
      </c>
      <c r="J64" s="42">
        <f>SUM(J4:J63)</f>
        <v>13359</v>
      </c>
      <c r="K64" s="42">
        <f t="shared" ref="K64:M64" si="3">SUM(K4:K63)</f>
        <v>11737</v>
      </c>
      <c r="L64" s="42">
        <f t="shared" si="3"/>
        <v>12617</v>
      </c>
      <c r="M64" s="42">
        <f t="shared" si="3"/>
        <v>0</v>
      </c>
      <c r="N64" s="42">
        <f t="shared" ref="N64" si="4">SUM(N13:N63)</f>
        <v>192018</v>
      </c>
    </row>
    <row r="65" spans="1:14" ht="15" customHeight="1" x14ac:dyDescent="0.25"/>
    <row r="66" spans="1:14" x14ac:dyDescent="0.25">
      <c r="A66" s="76" t="s">
        <v>86</v>
      </c>
      <c r="B66" s="77">
        <f t="shared" ref="B66:N66" si="5">+B13+B17+B14+B15</f>
        <v>4660</v>
      </c>
      <c r="C66" s="77">
        <f t="shared" si="5"/>
        <v>3800</v>
      </c>
      <c r="D66" s="77">
        <f t="shared" si="5"/>
        <v>3150</v>
      </c>
      <c r="E66" s="77">
        <f t="shared" si="5"/>
        <v>5390</v>
      </c>
      <c r="F66" s="77">
        <f t="shared" si="5"/>
        <v>6270</v>
      </c>
      <c r="G66" s="77">
        <f t="shared" si="5"/>
        <v>5520</v>
      </c>
      <c r="H66" s="77">
        <f t="shared" si="5"/>
        <v>5410</v>
      </c>
      <c r="I66" s="77">
        <f>+I13+I17+I14+I15+I4+I5+I6+I7+I8+I9+I10+I11+I12</f>
        <v>9380</v>
      </c>
      <c r="J66" s="77">
        <f t="shared" ref="J66:M66" si="6">+J13+J17+J14+J15+J4+J5+J6+J7+J8+J9+J10+J11+J12</f>
        <v>2920</v>
      </c>
      <c r="K66" s="77">
        <f t="shared" si="6"/>
        <v>3425</v>
      </c>
      <c r="L66" s="77">
        <f t="shared" si="6"/>
        <v>4360</v>
      </c>
      <c r="M66" s="77">
        <f t="shared" si="6"/>
        <v>0</v>
      </c>
      <c r="N66" s="77">
        <f t="shared" si="5"/>
        <v>53590</v>
      </c>
    </row>
    <row r="67" spans="1:14" x14ac:dyDescent="0.25">
      <c r="A67" s="76" t="s">
        <v>157</v>
      </c>
      <c r="B67" s="77">
        <f t="shared" ref="B67:N67" si="7">+B21+B39</f>
        <v>3450</v>
      </c>
      <c r="C67" s="77">
        <f t="shared" si="7"/>
        <v>4825</v>
      </c>
      <c r="D67" s="77">
        <f t="shared" si="7"/>
        <v>5700</v>
      </c>
      <c r="E67" s="77">
        <f t="shared" si="7"/>
        <v>4200</v>
      </c>
      <c r="F67" s="77">
        <f t="shared" si="7"/>
        <v>5875</v>
      </c>
      <c r="G67" s="77">
        <f t="shared" si="7"/>
        <v>4850</v>
      </c>
      <c r="H67" s="77">
        <f t="shared" si="7"/>
        <v>7150</v>
      </c>
      <c r="I67" s="77">
        <f>+I21+I39</f>
        <v>10570</v>
      </c>
      <c r="J67" s="77">
        <f t="shared" ref="J67:M67" si="8">+J21+J39</f>
        <v>2525</v>
      </c>
      <c r="K67" s="77">
        <f t="shared" si="8"/>
        <v>2400</v>
      </c>
      <c r="L67" s="77">
        <f t="shared" si="8"/>
        <v>2450</v>
      </c>
      <c r="M67" s="77">
        <f t="shared" si="8"/>
        <v>0</v>
      </c>
      <c r="N67" s="77">
        <f t="shared" si="7"/>
        <v>53995</v>
      </c>
    </row>
    <row r="68" spans="1:14" x14ac:dyDescent="0.25">
      <c r="A68" s="78" t="s">
        <v>50</v>
      </c>
      <c r="B68" s="77">
        <f>+B13+B16+B17+B18+B24+B25+B29+B30+B33+B34+B37+B38+B43+B44+B45+B46+B47+B48+B49+B50+B51+B52+B53+B54+B55+B56+B57+B58+B59+B60+B14+B15</f>
        <v>7477</v>
      </c>
      <c r="C68" s="77">
        <f t="shared" ref="C68:G68" si="9">+C13+C16+C17+C18+C24+C25+C29+C30+C33+C34+C37+C38+C43+C44+C45+C46+C47+C48+C49+C50+C51+C52+C53+C54+C55+C56+C57+C58+C59+C60+C14+C15</f>
        <v>6275</v>
      </c>
      <c r="D68" s="77">
        <f t="shared" si="9"/>
        <v>4701</v>
      </c>
      <c r="E68" s="77">
        <f t="shared" si="9"/>
        <v>8975</v>
      </c>
      <c r="F68" s="77">
        <f t="shared" si="9"/>
        <v>10125</v>
      </c>
      <c r="G68" s="77">
        <f t="shared" si="9"/>
        <v>9538</v>
      </c>
      <c r="H68" s="77">
        <f t="shared" ref="H68" si="10">+H13+H16+H17+H18+H24+H25+H29+H30+H33+H34+H37+H38+H43+H44+H45+H46+H47+H48+H49+H50+H51+H52+H53+H54+H55+H56+H57+H58+H59+H60</f>
        <v>8094</v>
      </c>
      <c r="I68" s="77">
        <f>+I13+I16+I17+I18+I24+I25+I29+I30+I33+I34+I37+I38+I43+I44+I45+I46+I47+I48+I49+I50+I51+I52+I53+I54+I55+I56+I57+I58+I59+I60+I28+I4+I5+I6+I7+I8+I9+I10+I11+I12</f>
        <v>10441</v>
      </c>
      <c r="J68" s="77">
        <f t="shared" ref="J68:M68" si="11">+J13+J16+J17+J18+J24+J25+J29+J30+J33+J34+J37+J38+J43+J44+J45+J46+J47+J48+J49+J50+J51+J52+J53+J54+J55+J56+J57+J58+J59+J60+J28+J4+J5+J6+J7+J8+J9+J10+J11+J12</f>
        <v>5035</v>
      </c>
      <c r="K68" s="77">
        <f t="shared" si="11"/>
        <v>4981</v>
      </c>
      <c r="L68" s="77">
        <f t="shared" si="11"/>
        <v>5536</v>
      </c>
      <c r="M68" s="77">
        <f t="shared" si="11"/>
        <v>0</v>
      </c>
      <c r="N68" s="77">
        <f t="shared" ref="N68" si="12">+N13+N16+N17+N18+N24+N25+N29+N30+N33+N34+N37+N38+N43+N44+N45+N46+N47+N48+N49+N50+N51+N52+N53+N54+N55+N56+N57+N58+N59+N60+N28</f>
        <v>68493</v>
      </c>
    </row>
    <row r="69" spans="1:14" x14ac:dyDescent="0.25">
      <c r="A69" s="78" t="s">
        <v>28</v>
      </c>
      <c r="B69" s="77">
        <f>SUM(B13:B60)-B32-B42-B31</f>
        <v>12663</v>
      </c>
      <c r="C69" s="77">
        <f t="shared" ref="C69:N69" si="13">SUM(C13:C60)-C32-C42-C31</f>
        <v>12868</v>
      </c>
      <c r="D69" s="77">
        <f t="shared" si="13"/>
        <v>12710</v>
      </c>
      <c r="E69" s="77">
        <f t="shared" si="13"/>
        <v>16066</v>
      </c>
      <c r="F69" s="77">
        <f t="shared" si="13"/>
        <v>19790</v>
      </c>
      <c r="G69" s="77">
        <f t="shared" si="13"/>
        <v>19040</v>
      </c>
      <c r="H69" s="77">
        <f t="shared" si="13"/>
        <v>25784</v>
      </c>
      <c r="I69" s="77">
        <f>SUM(I4:I60)-I32-I42-I31+I63</f>
        <v>31619</v>
      </c>
      <c r="J69" s="77">
        <f>SUM(J13:J60)-J32-J42-J31+J63</f>
        <v>12501</v>
      </c>
      <c r="K69" s="77">
        <f t="shared" ref="K69:M69" si="14">SUM(K13:K60)-K32-K42-K31+K63</f>
        <v>10766</v>
      </c>
      <c r="L69" s="77">
        <f t="shared" si="14"/>
        <v>11853</v>
      </c>
      <c r="M69" s="77">
        <f t="shared" si="14"/>
        <v>0</v>
      </c>
      <c r="N69" s="77">
        <f t="shared" si="13"/>
        <v>184007</v>
      </c>
    </row>
    <row r="70" spans="1:14" x14ac:dyDescent="0.25">
      <c r="A70" s="78" t="s">
        <v>46</v>
      </c>
      <c r="B70" s="77">
        <f>SUM(B13:B60)-B32-B42-B31-B61-B62</f>
        <v>11936</v>
      </c>
      <c r="C70" s="77">
        <f t="shared" ref="C70:H70" si="15">SUM(C13:C60)-C32-C42-C31-C61-C62</f>
        <v>12201</v>
      </c>
      <c r="D70" s="77">
        <f t="shared" si="15"/>
        <v>12024</v>
      </c>
      <c r="E70" s="77">
        <f t="shared" si="15"/>
        <v>15383</v>
      </c>
      <c r="F70" s="77">
        <f t="shared" si="15"/>
        <v>19055</v>
      </c>
      <c r="G70" s="77">
        <f t="shared" si="15"/>
        <v>18300</v>
      </c>
      <c r="H70" s="77">
        <f t="shared" si="15"/>
        <v>25033</v>
      </c>
      <c r="I70" s="77">
        <f>SUM(I4:I60)-I32-I42-I31-I61-I62-I63</f>
        <v>30009</v>
      </c>
      <c r="J70" s="77">
        <f t="shared" ref="J70:M70" si="16">SUM(J4:J60)-J32-J42-J31-J61-J62-J63</f>
        <v>11141</v>
      </c>
      <c r="K70" s="77">
        <f t="shared" si="16"/>
        <v>9798</v>
      </c>
      <c r="L70" s="77">
        <f t="shared" si="16"/>
        <v>10542</v>
      </c>
      <c r="M70" s="77">
        <f t="shared" si="16"/>
        <v>0</v>
      </c>
      <c r="N70" s="77">
        <f t="shared" ref="N70" si="17">SUM(N13:N60)-N32-N42-N61-N62-N31</f>
        <v>176150</v>
      </c>
    </row>
    <row r="71" spans="1:14" x14ac:dyDescent="0.25">
      <c r="A71" s="78" t="s">
        <v>52</v>
      </c>
      <c r="B71" s="77">
        <f>+B19+B20+B21+B22+B23+B35+B36+B40+B41</f>
        <v>3611</v>
      </c>
      <c r="C71" s="77">
        <f t="shared" ref="C71:N71" si="18">+C19+C20+C21+C22+C23+C35+C36+C40+C41</f>
        <v>3968</v>
      </c>
      <c r="D71" s="77">
        <f t="shared" si="18"/>
        <v>5558</v>
      </c>
      <c r="E71" s="77">
        <f t="shared" si="18"/>
        <v>4641</v>
      </c>
      <c r="F71" s="77">
        <f t="shared" si="18"/>
        <v>6664</v>
      </c>
      <c r="G71" s="77">
        <f t="shared" si="18"/>
        <v>6972</v>
      </c>
      <c r="H71" s="77">
        <f t="shared" si="18"/>
        <v>11923</v>
      </c>
      <c r="I71" s="77">
        <f t="shared" si="18"/>
        <v>11080</v>
      </c>
      <c r="J71" s="77">
        <f t="shared" ref="J71:M71" si="19">+J19+J20+J21+J22+J23+J35+J36+J40+J41</f>
        <v>4821</v>
      </c>
      <c r="K71" s="77">
        <f t="shared" si="19"/>
        <v>3417</v>
      </c>
      <c r="L71" s="77">
        <f t="shared" si="19"/>
        <v>3311</v>
      </c>
      <c r="M71" s="77">
        <f t="shared" si="19"/>
        <v>0</v>
      </c>
      <c r="N71" s="77">
        <f t="shared" si="18"/>
        <v>65966</v>
      </c>
    </row>
    <row r="72" spans="1:14" x14ac:dyDescent="0.25">
      <c r="A72" s="79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</row>
    <row r="73" spans="1:14" x14ac:dyDescent="0.25">
      <c r="I73" s="100"/>
    </row>
    <row r="74" spans="1:14" x14ac:dyDescent="0.25">
      <c r="I74" s="100"/>
    </row>
    <row r="75" spans="1:14" x14ac:dyDescent="0.25">
      <c r="I75" s="100"/>
    </row>
    <row r="76" spans="1:14" x14ac:dyDescent="0.25">
      <c r="A76" s="76" t="s">
        <v>179</v>
      </c>
      <c r="B76" s="77">
        <f>+B13+B16+B17+B18+B14+B15</f>
        <v>4660</v>
      </c>
      <c r="C76" s="77">
        <f t="shared" ref="C76:N76" si="20">+C13+C16+C17+C18+C14+C15</f>
        <v>3800</v>
      </c>
      <c r="D76" s="77">
        <f t="shared" si="20"/>
        <v>3195</v>
      </c>
      <c r="E76" s="77">
        <f t="shared" si="20"/>
        <v>5410</v>
      </c>
      <c r="F76" s="77">
        <f t="shared" si="20"/>
        <v>6390</v>
      </c>
      <c r="G76" s="77">
        <f t="shared" si="20"/>
        <v>5620</v>
      </c>
      <c r="H76" s="77">
        <f t="shared" si="20"/>
        <v>5510</v>
      </c>
      <c r="I76" s="77">
        <f>+I13+I16+I17+I18+I14+I15+I4+I5+I6+I7+I8+I9+I10+I11+I12</f>
        <v>9520</v>
      </c>
      <c r="J76" s="77">
        <f t="shared" ref="J76:M76" si="21">+J13+J16+J17+J18+J14+J15+J4+J5+J6+J7+J8+J9+J10+J11+J12</f>
        <v>2940</v>
      </c>
      <c r="K76" s="77">
        <f t="shared" si="21"/>
        <v>3445</v>
      </c>
      <c r="L76" s="77">
        <f t="shared" si="21"/>
        <v>4400</v>
      </c>
      <c r="M76" s="77">
        <f t="shared" si="21"/>
        <v>0</v>
      </c>
      <c r="N76" s="77">
        <f t="shared" si="20"/>
        <v>54195</v>
      </c>
    </row>
    <row r="77" spans="1:14" x14ac:dyDescent="0.25">
      <c r="A77" s="76" t="s">
        <v>177</v>
      </c>
      <c r="B77" s="77">
        <f>+B24+B25+B33+B34</f>
        <v>2482</v>
      </c>
      <c r="C77" s="77">
        <f t="shared" ref="C77:N77" si="22">+C24+C25+C33+C34</f>
        <v>2090</v>
      </c>
      <c r="D77" s="77">
        <f t="shared" si="22"/>
        <v>1259</v>
      </c>
      <c r="E77" s="77">
        <f t="shared" si="22"/>
        <v>3037</v>
      </c>
      <c r="F77" s="77">
        <f t="shared" si="22"/>
        <v>3180</v>
      </c>
      <c r="G77" s="77">
        <f t="shared" si="22"/>
        <v>3334</v>
      </c>
      <c r="H77" s="77">
        <f t="shared" si="22"/>
        <v>4302</v>
      </c>
      <c r="I77" s="77">
        <f>+I24+I25+I33+I34</f>
        <v>4060</v>
      </c>
      <c r="J77" s="77">
        <f t="shared" ref="J77:M77" si="23">+J24+J25+J33+J34</f>
        <v>2982</v>
      </c>
      <c r="K77" s="77">
        <f t="shared" si="23"/>
        <v>2534</v>
      </c>
      <c r="L77" s="77">
        <f t="shared" si="23"/>
        <v>2527</v>
      </c>
      <c r="M77" s="77">
        <f t="shared" si="23"/>
        <v>0</v>
      </c>
      <c r="N77" s="77">
        <f t="shared" si="22"/>
        <v>31787</v>
      </c>
    </row>
    <row r="78" spans="1:14" x14ac:dyDescent="0.25">
      <c r="A78" s="78" t="s">
        <v>178</v>
      </c>
      <c r="B78" s="77">
        <f>+B29+B30+B37+B38</f>
        <v>2</v>
      </c>
      <c r="C78" s="77">
        <f t="shared" ref="C78:N78" si="24">+C29+C30+C37+C38</f>
        <v>2</v>
      </c>
      <c r="D78" s="77">
        <f t="shared" si="24"/>
        <v>3</v>
      </c>
      <c r="E78" s="77">
        <f t="shared" si="24"/>
        <v>21</v>
      </c>
      <c r="F78" s="77">
        <f t="shared" si="24"/>
        <v>38</v>
      </c>
      <c r="G78" s="77">
        <f t="shared" si="24"/>
        <v>30</v>
      </c>
      <c r="H78" s="77">
        <f t="shared" si="24"/>
        <v>36</v>
      </c>
      <c r="I78" s="77">
        <f>+I29+I30+I37+I38</f>
        <v>37</v>
      </c>
      <c r="J78" s="77">
        <f t="shared" ref="J78:M78" si="25">+J29+J30+J37+J38</f>
        <v>48</v>
      </c>
      <c r="K78" s="77">
        <f t="shared" si="25"/>
        <v>11</v>
      </c>
      <c r="L78" s="77">
        <f t="shared" si="25"/>
        <v>6</v>
      </c>
      <c r="M78" s="77">
        <f t="shared" si="25"/>
        <v>0</v>
      </c>
      <c r="N78" s="77">
        <f t="shared" si="24"/>
        <v>234</v>
      </c>
    </row>
    <row r="79" spans="1:14" x14ac:dyDescent="0.25">
      <c r="A79" s="78" t="s">
        <v>180</v>
      </c>
      <c r="B79" s="77">
        <f>+B43+B44+B45+B46+B47+B48+B49+B50+B51+B52+B53+B54+B55+B56+B57+B58+B59+B60</f>
        <v>333</v>
      </c>
      <c r="C79" s="77">
        <f t="shared" ref="C79:H79" si="26">+C43+C44+C45+C46+C47+C48+C49+C50+C51+C52+C53+C54+C55+C56+C57+C58+C59+C60</f>
        <v>383</v>
      </c>
      <c r="D79" s="77">
        <f t="shared" si="26"/>
        <v>244</v>
      </c>
      <c r="E79" s="77">
        <f t="shared" si="26"/>
        <v>507</v>
      </c>
      <c r="F79" s="77">
        <f t="shared" si="26"/>
        <v>517</v>
      </c>
      <c r="G79" s="77">
        <f t="shared" si="26"/>
        <v>554</v>
      </c>
      <c r="H79" s="77">
        <f t="shared" si="26"/>
        <v>586</v>
      </c>
      <c r="I79" s="77">
        <f>+I43+I44+I45+I46+I47+I48+I49+I50+I51+I52+I53+I54+I55+I56+I57+I58+I59+I60+I28+I4+I5+I6+I7+I8+I9+I10+I11+I12</f>
        <v>724</v>
      </c>
      <c r="J79" s="77">
        <f t="shared" ref="J79:M79" si="27">+J43+J44+J45+J46+J47+J48+J49+J50+J51+J52+J53+J54+J55+J56+J57+J58+J59+J60+J28+J4+J5+J6+J7+J8+J9+J10+J11+J12</f>
        <v>445</v>
      </c>
      <c r="K79" s="77">
        <f t="shared" si="27"/>
        <v>516</v>
      </c>
      <c r="L79" s="77">
        <f t="shared" si="27"/>
        <v>263</v>
      </c>
      <c r="M79" s="77">
        <f t="shared" si="27"/>
        <v>0</v>
      </c>
      <c r="N79" s="77">
        <f t="shared" ref="N79" si="28">+N43+N44+N45+N46+N47+N48+N49+N50+N51+N52+N53+N54+N55+N56+N57+N58+N59+N60+N28</f>
        <v>4377</v>
      </c>
    </row>
    <row r="80" spans="1:14" x14ac:dyDescent="0.25">
      <c r="A80" s="78" t="s">
        <v>157</v>
      </c>
      <c r="B80" s="77">
        <f>+B21+B39</f>
        <v>3450</v>
      </c>
      <c r="C80" s="77">
        <f t="shared" ref="C80:N80" si="29">+C21+C39</f>
        <v>4825</v>
      </c>
      <c r="D80" s="77">
        <f t="shared" si="29"/>
        <v>5700</v>
      </c>
      <c r="E80" s="77">
        <f t="shared" si="29"/>
        <v>4200</v>
      </c>
      <c r="F80" s="77">
        <f t="shared" si="29"/>
        <v>5875</v>
      </c>
      <c r="G80" s="77">
        <f t="shared" si="29"/>
        <v>4850</v>
      </c>
      <c r="H80" s="77">
        <f t="shared" si="29"/>
        <v>7150</v>
      </c>
      <c r="I80" s="77">
        <f>+I21+I39</f>
        <v>10570</v>
      </c>
      <c r="J80" s="77">
        <f t="shared" ref="J80:M80" si="30">+J21+J39</f>
        <v>2525</v>
      </c>
      <c r="K80" s="77">
        <f t="shared" si="30"/>
        <v>2400</v>
      </c>
      <c r="L80" s="77">
        <f t="shared" si="30"/>
        <v>2450</v>
      </c>
      <c r="M80" s="77">
        <f t="shared" si="30"/>
        <v>0</v>
      </c>
      <c r="N80" s="77">
        <f t="shared" si="29"/>
        <v>53995</v>
      </c>
    </row>
    <row r="81" spans="1:14" x14ac:dyDescent="0.25">
      <c r="A81" s="78" t="s">
        <v>181</v>
      </c>
      <c r="B81" s="77">
        <f>+B22+B23+B35+B36</f>
        <v>1736</v>
      </c>
      <c r="C81" s="77">
        <f t="shared" ref="C81:N81" si="31">+C22+C23+C35+C36</f>
        <v>1768</v>
      </c>
      <c r="D81" s="77">
        <f t="shared" si="31"/>
        <v>2308</v>
      </c>
      <c r="E81" s="77">
        <f t="shared" si="31"/>
        <v>2891</v>
      </c>
      <c r="F81" s="77">
        <f t="shared" si="31"/>
        <v>3789</v>
      </c>
      <c r="G81" s="77">
        <f t="shared" si="31"/>
        <v>4647</v>
      </c>
      <c r="H81" s="77">
        <f t="shared" si="31"/>
        <v>8198</v>
      </c>
      <c r="I81" s="77">
        <f>+I22+I23+I35+I36</f>
        <v>6227</v>
      </c>
      <c r="J81" s="77">
        <f t="shared" ref="J81:M81" si="32">+J22+J23+J35+J36</f>
        <v>3042</v>
      </c>
      <c r="K81" s="77">
        <f t="shared" si="32"/>
        <v>1933</v>
      </c>
      <c r="L81" s="77">
        <f t="shared" si="32"/>
        <v>1946</v>
      </c>
      <c r="M81" s="77">
        <f t="shared" si="32"/>
        <v>0</v>
      </c>
      <c r="N81" s="77">
        <f t="shared" si="31"/>
        <v>38485</v>
      </c>
    </row>
    <row r="82" spans="1:14" x14ac:dyDescent="0.25">
      <c r="A82" s="78" t="s">
        <v>182</v>
      </c>
      <c r="B82" s="77">
        <f t="shared" ref="B82:N82" si="33">+B19+B20+B40+B41</f>
        <v>0</v>
      </c>
      <c r="C82" s="77">
        <f t="shared" si="33"/>
        <v>0</v>
      </c>
      <c r="D82" s="77">
        <f t="shared" si="33"/>
        <v>0</v>
      </c>
      <c r="E82" s="77">
        <f t="shared" si="33"/>
        <v>0</v>
      </c>
      <c r="F82" s="77">
        <f t="shared" si="33"/>
        <v>0</v>
      </c>
      <c r="G82" s="77">
        <f t="shared" si="33"/>
        <v>0</v>
      </c>
      <c r="H82" s="77">
        <f t="shared" si="33"/>
        <v>0</v>
      </c>
      <c r="I82" s="77">
        <f>+I19+I20+I40+I41</f>
        <v>283</v>
      </c>
      <c r="J82" s="77">
        <f t="shared" ref="J82:M82" si="34">+J19+J20+J40+J41</f>
        <v>379</v>
      </c>
      <c r="K82" s="77">
        <f t="shared" si="34"/>
        <v>184</v>
      </c>
      <c r="L82" s="77">
        <f t="shared" si="34"/>
        <v>40</v>
      </c>
      <c r="M82" s="77">
        <f t="shared" si="34"/>
        <v>0</v>
      </c>
      <c r="N82" s="77">
        <f t="shared" si="33"/>
        <v>886</v>
      </c>
    </row>
  </sheetData>
  <pageMargins left="0.7" right="0.7" top="0.75" bottom="0.75" header="0.3" footer="0.3"/>
  <pageSetup scale="61" orientation="portrait" r:id="rId1"/>
  <ignoredErrors>
    <ignoredError sqref="C69" formulaRange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71"/>
  <sheetViews>
    <sheetView zoomScale="7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6" sqref="A6"/>
    </sheetView>
  </sheetViews>
  <sheetFormatPr defaultRowHeight="15" x14ac:dyDescent="0.25"/>
  <cols>
    <col min="1" max="1" width="27" customWidth="1"/>
  </cols>
  <sheetData>
    <row r="1" spans="1:14" ht="18.600000000000001" x14ac:dyDescent="0.25">
      <c r="A1" s="48" t="s">
        <v>192</v>
      </c>
    </row>
    <row r="2" spans="1:14" x14ac:dyDescent="0.25">
      <c r="A2" s="49"/>
    </row>
    <row r="3" spans="1:14" ht="16.8" x14ac:dyDescent="0.25">
      <c r="A3" s="49"/>
      <c r="B3" s="47" t="s">
        <v>29</v>
      </c>
      <c r="C3" s="34" t="s">
        <v>30</v>
      </c>
      <c r="D3" s="34" t="s">
        <v>31</v>
      </c>
      <c r="E3" s="34" t="s">
        <v>32</v>
      </c>
      <c r="F3" s="34" t="s">
        <v>33</v>
      </c>
      <c r="G3" s="34" t="s">
        <v>34</v>
      </c>
      <c r="H3" s="34" t="s">
        <v>35</v>
      </c>
      <c r="I3" s="34" t="s">
        <v>36</v>
      </c>
      <c r="J3" s="34" t="s">
        <v>37</v>
      </c>
      <c r="K3" s="34" t="s">
        <v>38</v>
      </c>
      <c r="L3" s="34" t="s">
        <v>39</v>
      </c>
      <c r="M3" s="34" t="s">
        <v>40</v>
      </c>
      <c r="N3" s="35" t="s">
        <v>41</v>
      </c>
    </row>
    <row r="4" spans="1:14" ht="16.2" x14ac:dyDescent="0.25">
      <c r="A4" s="50" t="s">
        <v>190</v>
      </c>
      <c r="B4" s="52">
        <v>80</v>
      </c>
      <c r="C4" s="52">
        <v>10</v>
      </c>
      <c r="D4" s="52">
        <v>50</v>
      </c>
      <c r="E4" s="52">
        <v>40</v>
      </c>
      <c r="F4" s="52">
        <v>60</v>
      </c>
      <c r="G4" s="58">
        <v>50</v>
      </c>
      <c r="H4" s="52"/>
      <c r="I4" s="52">
        <v>30</v>
      </c>
      <c r="J4" s="52"/>
      <c r="K4" s="52">
        <v>30</v>
      </c>
      <c r="L4" s="52">
        <v>40</v>
      </c>
      <c r="M4" s="52">
        <v>50</v>
      </c>
      <c r="N4" s="52">
        <f>SUM(B4:M4)</f>
        <v>440</v>
      </c>
    </row>
    <row r="5" spans="1:14" ht="16.2" x14ac:dyDescent="0.25">
      <c r="A5" s="50" t="s">
        <v>191</v>
      </c>
      <c r="B5" s="52">
        <v>50</v>
      </c>
      <c r="C5" s="52">
        <v>40</v>
      </c>
      <c r="D5" s="52">
        <v>50</v>
      </c>
      <c r="E5" s="52">
        <v>30</v>
      </c>
      <c r="F5" s="52">
        <v>50</v>
      </c>
      <c r="G5" s="58">
        <v>40</v>
      </c>
      <c r="H5" s="52">
        <v>20</v>
      </c>
      <c r="I5" s="52">
        <v>20</v>
      </c>
      <c r="J5" s="52"/>
      <c r="K5" s="52">
        <v>20</v>
      </c>
      <c r="L5" s="52">
        <v>40</v>
      </c>
      <c r="M5" s="52">
        <v>20</v>
      </c>
      <c r="N5" s="52">
        <f t="shared" ref="N5:N6" si="0">SUM(B5:M5)</f>
        <v>380</v>
      </c>
    </row>
    <row r="6" spans="1:14" ht="16.2" x14ac:dyDescent="0.25">
      <c r="A6" s="50" t="s">
        <v>186</v>
      </c>
      <c r="B6" s="52">
        <v>2140</v>
      </c>
      <c r="C6" s="52">
        <v>1820</v>
      </c>
      <c r="D6" s="52">
        <v>1580</v>
      </c>
      <c r="E6" s="52">
        <v>2080</v>
      </c>
      <c r="F6" s="52">
        <v>2160</v>
      </c>
      <c r="G6" s="58">
        <v>2220</v>
      </c>
      <c r="H6" s="52">
        <v>1680</v>
      </c>
      <c r="I6" s="52">
        <v>2180</v>
      </c>
      <c r="J6" s="52">
        <v>1140</v>
      </c>
      <c r="K6" s="52">
        <v>520</v>
      </c>
      <c r="L6" s="52">
        <v>1680</v>
      </c>
      <c r="M6" s="52">
        <v>2080</v>
      </c>
      <c r="N6" s="52">
        <f t="shared" si="0"/>
        <v>21280</v>
      </c>
    </row>
    <row r="7" spans="1:14" ht="16.2" x14ac:dyDescent="0.25">
      <c r="A7" s="50" t="s">
        <v>59</v>
      </c>
      <c r="B7" s="52">
        <v>40</v>
      </c>
      <c r="C7" s="52"/>
      <c r="D7" s="52"/>
      <c r="E7" s="52">
        <v>40</v>
      </c>
      <c r="F7" s="52">
        <v>60</v>
      </c>
      <c r="G7" s="58">
        <v>20</v>
      </c>
      <c r="H7" s="52">
        <v>40</v>
      </c>
      <c r="I7" s="52">
        <v>40</v>
      </c>
      <c r="J7" s="52">
        <v>20</v>
      </c>
      <c r="K7" s="52">
        <v>20</v>
      </c>
      <c r="L7" s="52"/>
      <c r="M7" s="52"/>
      <c r="N7" s="52">
        <f>SUM(B7:M7)</f>
        <v>280</v>
      </c>
    </row>
    <row r="8" spans="1:14" ht="16.2" x14ac:dyDescent="0.25">
      <c r="A8" s="50" t="s">
        <v>187</v>
      </c>
      <c r="B8" s="52">
        <v>1340</v>
      </c>
      <c r="C8" s="52">
        <v>1460</v>
      </c>
      <c r="D8" s="52">
        <v>1240</v>
      </c>
      <c r="E8" s="52">
        <v>2120</v>
      </c>
      <c r="F8" s="52">
        <v>2140</v>
      </c>
      <c r="G8" s="58">
        <v>2000</v>
      </c>
      <c r="H8" s="52">
        <v>1860</v>
      </c>
      <c r="I8" s="52">
        <v>2000</v>
      </c>
      <c r="J8" s="52">
        <v>1160</v>
      </c>
      <c r="K8" s="52">
        <v>720</v>
      </c>
      <c r="L8" s="52">
        <v>1560</v>
      </c>
      <c r="M8" s="52">
        <v>1480</v>
      </c>
      <c r="N8" s="52">
        <f>SUM(B8:M8)</f>
        <v>19080</v>
      </c>
    </row>
    <row r="9" spans="1:14" ht="16.2" x14ac:dyDescent="0.25">
      <c r="A9" s="50" t="s">
        <v>188</v>
      </c>
      <c r="B9" s="52"/>
      <c r="C9" s="52"/>
      <c r="D9" s="52"/>
      <c r="E9" s="52"/>
      <c r="F9" s="52">
        <v>20</v>
      </c>
      <c r="G9" s="58"/>
      <c r="H9" s="52"/>
      <c r="I9" s="52"/>
      <c r="J9" s="52"/>
      <c r="K9" s="52"/>
      <c r="L9" s="52"/>
      <c r="M9" s="52"/>
      <c r="N9" s="52">
        <f>SUM(B9:M9)</f>
        <v>20</v>
      </c>
    </row>
    <row r="10" spans="1:14" ht="16.2" x14ac:dyDescent="0.25">
      <c r="A10" s="50" t="s">
        <v>134</v>
      </c>
      <c r="B10" s="52"/>
      <c r="C10" s="52"/>
      <c r="D10" s="52"/>
      <c r="E10" s="52"/>
      <c r="F10" s="52">
        <v>78</v>
      </c>
      <c r="G10" s="58">
        <v>172</v>
      </c>
      <c r="H10" s="52">
        <v>375</v>
      </c>
      <c r="I10" s="52">
        <v>301</v>
      </c>
      <c r="J10" s="52">
        <v>223</v>
      </c>
      <c r="K10" s="52"/>
      <c r="L10" s="52"/>
      <c r="M10" s="52"/>
      <c r="N10" s="52">
        <f>SUM(B10:M10)</f>
        <v>1149</v>
      </c>
    </row>
    <row r="11" spans="1:14" ht="16.2" x14ac:dyDescent="0.25">
      <c r="A11" s="50" t="s">
        <v>135</v>
      </c>
      <c r="B11" s="52">
        <v>29</v>
      </c>
      <c r="C11" s="52">
        <v>29</v>
      </c>
      <c r="D11" s="52">
        <v>71</v>
      </c>
      <c r="E11" s="52">
        <v>105</v>
      </c>
      <c r="F11" s="52">
        <v>69</v>
      </c>
      <c r="G11" s="58"/>
      <c r="H11" s="52"/>
      <c r="I11" s="52"/>
      <c r="J11" s="52"/>
      <c r="K11" s="52">
        <v>90</v>
      </c>
      <c r="L11" s="52">
        <v>45</v>
      </c>
      <c r="M11" s="52">
        <v>31</v>
      </c>
      <c r="N11" s="52">
        <f t="shared" ref="N11:N52" si="1">SUM(B11:M11)</f>
        <v>469</v>
      </c>
    </row>
    <row r="12" spans="1:14" ht="16.2" x14ac:dyDescent="0.25">
      <c r="A12" s="50" t="s">
        <v>60</v>
      </c>
      <c r="B12" s="52">
        <v>1350</v>
      </c>
      <c r="C12" s="52">
        <v>1700</v>
      </c>
      <c r="D12" s="52">
        <v>1800</v>
      </c>
      <c r="E12" s="52">
        <v>1575</v>
      </c>
      <c r="F12" s="52">
        <v>2600</v>
      </c>
      <c r="G12" s="58">
        <v>2050</v>
      </c>
      <c r="H12" s="52">
        <v>2300</v>
      </c>
      <c r="I12" s="52">
        <v>2500</v>
      </c>
      <c r="J12" s="52">
        <v>3050</v>
      </c>
      <c r="K12" s="52">
        <v>2875</v>
      </c>
      <c r="L12" s="52">
        <v>1325</v>
      </c>
      <c r="M12" s="52">
        <v>1650</v>
      </c>
      <c r="N12" s="52">
        <f t="shared" si="1"/>
        <v>24775</v>
      </c>
    </row>
    <row r="13" spans="1:14" ht="16.2" x14ac:dyDescent="0.25">
      <c r="A13" s="50" t="s">
        <v>111</v>
      </c>
      <c r="B13" s="52"/>
      <c r="C13" s="52"/>
      <c r="D13" s="52"/>
      <c r="E13" s="52"/>
      <c r="F13" s="52">
        <v>1384</v>
      </c>
      <c r="G13" s="58">
        <v>2882</v>
      </c>
      <c r="H13" s="52">
        <v>4566</v>
      </c>
      <c r="I13" s="52">
        <v>4559</v>
      </c>
      <c r="J13" s="52">
        <v>2646</v>
      </c>
      <c r="K13" s="52"/>
      <c r="L13" s="52"/>
      <c r="M13" s="52"/>
      <c r="N13" s="52">
        <f t="shared" si="1"/>
        <v>16037</v>
      </c>
    </row>
    <row r="14" spans="1:14" ht="16.2" x14ac:dyDescent="0.25">
      <c r="A14" s="50" t="s">
        <v>136</v>
      </c>
      <c r="B14" s="52">
        <v>1535</v>
      </c>
      <c r="C14" s="52">
        <v>1584</v>
      </c>
      <c r="D14" s="52">
        <v>1917</v>
      </c>
      <c r="E14" s="52">
        <v>2133</v>
      </c>
      <c r="F14" s="52">
        <v>1475</v>
      </c>
      <c r="G14" s="58"/>
      <c r="H14" s="52"/>
      <c r="I14" s="52"/>
      <c r="J14" s="52"/>
      <c r="K14" s="52">
        <v>2211</v>
      </c>
      <c r="L14" s="52">
        <v>1875</v>
      </c>
      <c r="M14" s="52">
        <v>1923</v>
      </c>
      <c r="N14" s="52">
        <f t="shared" si="1"/>
        <v>14653</v>
      </c>
    </row>
    <row r="15" spans="1:14" ht="16.2" x14ac:dyDescent="0.25">
      <c r="A15" s="50" t="s">
        <v>127</v>
      </c>
      <c r="B15" s="52"/>
      <c r="C15" s="52"/>
      <c r="D15" s="52"/>
      <c r="E15" s="52"/>
      <c r="F15" s="52">
        <v>1078</v>
      </c>
      <c r="G15" s="58">
        <v>2809</v>
      </c>
      <c r="H15" s="52">
        <v>3751</v>
      </c>
      <c r="I15" s="52">
        <v>3921</v>
      </c>
      <c r="J15" s="52">
        <v>2176</v>
      </c>
      <c r="K15" s="52"/>
      <c r="L15" s="52"/>
      <c r="M15" s="52"/>
      <c r="N15" s="52">
        <f t="shared" si="1"/>
        <v>13735</v>
      </c>
    </row>
    <row r="16" spans="1:14" ht="16.2" x14ac:dyDescent="0.25">
      <c r="A16" s="50" t="s">
        <v>137</v>
      </c>
      <c r="B16" s="52">
        <v>2163</v>
      </c>
      <c r="C16" s="52">
        <v>2061</v>
      </c>
      <c r="D16" s="52">
        <v>1961</v>
      </c>
      <c r="E16" s="52">
        <v>2710</v>
      </c>
      <c r="F16" s="52">
        <v>1645</v>
      </c>
      <c r="G16" s="58"/>
      <c r="H16" s="52"/>
      <c r="I16" s="52"/>
      <c r="J16" s="52"/>
      <c r="K16" s="52">
        <v>532</v>
      </c>
      <c r="L16" s="52">
        <v>2426</v>
      </c>
      <c r="M16" s="52">
        <v>2405</v>
      </c>
      <c r="N16" s="52">
        <f t="shared" si="1"/>
        <v>15903</v>
      </c>
    </row>
    <row r="17" spans="1:14" ht="16.2" x14ac:dyDescent="0.25">
      <c r="A17" s="50" t="s">
        <v>8</v>
      </c>
      <c r="B17" s="52"/>
      <c r="C17" s="52">
        <v>2</v>
      </c>
      <c r="D17" s="52"/>
      <c r="E17" s="52"/>
      <c r="F17" s="52"/>
      <c r="G17" s="58"/>
      <c r="H17" s="52"/>
      <c r="I17" s="52"/>
      <c r="J17" s="52"/>
      <c r="K17" s="52"/>
      <c r="L17" s="52">
        <v>2</v>
      </c>
      <c r="M17" s="52"/>
      <c r="N17" s="52">
        <f t="shared" si="1"/>
        <v>4</v>
      </c>
    </row>
    <row r="18" spans="1:14" ht="16.2" x14ac:dyDescent="0.25">
      <c r="A18" s="50" t="s">
        <v>62</v>
      </c>
      <c r="B18" s="52"/>
      <c r="C18" s="52">
        <v>1</v>
      </c>
      <c r="D18" s="52"/>
      <c r="E18" s="52"/>
      <c r="F18" s="52">
        <v>2</v>
      </c>
      <c r="G18" s="58"/>
      <c r="H18" s="52">
        <v>1</v>
      </c>
      <c r="I18" s="52">
        <v>3</v>
      </c>
      <c r="J18" s="52">
        <v>2</v>
      </c>
      <c r="K18" s="52">
        <v>1</v>
      </c>
      <c r="L18" s="52">
        <v>1</v>
      </c>
      <c r="M18" s="52">
        <v>1</v>
      </c>
      <c r="N18" s="52">
        <f t="shared" si="1"/>
        <v>12</v>
      </c>
    </row>
    <row r="19" spans="1:14" ht="16.2" x14ac:dyDescent="0.25">
      <c r="A19" s="50" t="s">
        <v>138</v>
      </c>
      <c r="B19" s="52"/>
      <c r="C19" s="52"/>
      <c r="D19" s="52"/>
      <c r="E19" s="52"/>
      <c r="F19" s="52">
        <v>14</v>
      </c>
      <c r="G19" s="58">
        <v>58</v>
      </c>
      <c r="H19" s="52">
        <v>115</v>
      </c>
      <c r="I19" s="52">
        <v>96</v>
      </c>
      <c r="J19" s="52">
        <v>82</v>
      </c>
      <c r="K19" s="52"/>
      <c r="L19" s="52"/>
      <c r="M19" s="52"/>
      <c r="N19" s="52">
        <f t="shared" si="1"/>
        <v>365</v>
      </c>
    </row>
    <row r="20" spans="1:14" ht="16.2" x14ac:dyDescent="0.25">
      <c r="A20" s="50" t="s">
        <v>139</v>
      </c>
      <c r="B20" s="52">
        <v>13</v>
      </c>
      <c r="C20" s="52">
        <v>9</v>
      </c>
      <c r="D20" s="52">
        <v>9</v>
      </c>
      <c r="E20" s="52">
        <v>49</v>
      </c>
      <c r="F20" s="52">
        <v>35</v>
      </c>
      <c r="G20" s="58"/>
      <c r="H20" s="52"/>
      <c r="I20" s="52"/>
      <c r="J20" s="52"/>
      <c r="K20" s="52">
        <v>17</v>
      </c>
      <c r="L20" s="52">
        <v>19</v>
      </c>
      <c r="M20" s="52">
        <v>9</v>
      </c>
      <c r="N20" s="52">
        <f t="shared" si="1"/>
        <v>160</v>
      </c>
    </row>
    <row r="21" spans="1:14" ht="16.2" x14ac:dyDescent="0.25">
      <c r="A21" s="50" t="s">
        <v>11</v>
      </c>
      <c r="B21" s="52">
        <v>18</v>
      </c>
      <c r="C21" s="52">
        <v>18</v>
      </c>
      <c r="D21" s="52">
        <v>19</v>
      </c>
      <c r="E21" s="52">
        <v>18</v>
      </c>
      <c r="F21" s="52">
        <v>20</v>
      </c>
      <c r="G21" s="58">
        <v>13</v>
      </c>
      <c r="H21" s="52"/>
      <c r="I21" s="52"/>
      <c r="J21" s="52">
        <v>20</v>
      </c>
      <c r="K21" s="52">
        <v>22</v>
      </c>
      <c r="L21" s="52">
        <v>17</v>
      </c>
      <c r="M21" s="52">
        <v>15</v>
      </c>
      <c r="N21" s="52">
        <f>SUM(B21:M21)</f>
        <v>180</v>
      </c>
    </row>
    <row r="22" spans="1:14" ht="16.2" x14ac:dyDescent="0.25">
      <c r="A22" s="50" t="s">
        <v>12</v>
      </c>
      <c r="B22" s="52"/>
      <c r="C22" s="52"/>
      <c r="D22" s="52"/>
      <c r="E22" s="52"/>
      <c r="F22" s="52">
        <v>1</v>
      </c>
      <c r="G22" s="58"/>
      <c r="H22" s="65">
        <v>2</v>
      </c>
      <c r="I22" s="52">
        <v>1</v>
      </c>
      <c r="J22" s="52">
        <v>1</v>
      </c>
      <c r="K22" s="52"/>
      <c r="L22" s="52">
        <v>1</v>
      </c>
      <c r="M22" s="52"/>
      <c r="N22" s="52">
        <f t="shared" si="1"/>
        <v>6</v>
      </c>
    </row>
    <row r="23" spans="1:14" ht="16.2" x14ac:dyDescent="0.25">
      <c r="A23" s="50" t="s">
        <v>145</v>
      </c>
      <c r="B23" s="52"/>
      <c r="C23" s="52"/>
      <c r="D23" s="52"/>
      <c r="E23" s="52"/>
      <c r="F23" s="52">
        <v>258</v>
      </c>
      <c r="G23" s="58">
        <v>812</v>
      </c>
      <c r="H23" s="52">
        <v>1076</v>
      </c>
      <c r="I23" s="52">
        <v>1101</v>
      </c>
      <c r="J23" s="52">
        <v>644</v>
      </c>
      <c r="K23" s="52"/>
      <c r="L23" s="52"/>
      <c r="M23" s="52"/>
      <c r="N23" s="52">
        <f>SUM(B23:M23)</f>
        <v>3891</v>
      </c>
    </row>
    <row r="24" spans="1:14" ht="16.2" x14ac:dyDescent="0.25">
      <c r="A24" s="50" t="s">
        <v>146</v>
      </c>
      <c r="B24" s="52">
        <v>673</v>
      </c>
      <c r="C24" s="52">
        <v>566</v>
      </c>
      <c r="D24" s="52">
        <v>658</v>
      </c>
      <c r="E24" s="52">
        <v>892</v>
      </c>
      <c r="F24" s="52">
        <v>596</v>
      </c>
      <c r="G24" s="58"/>
      <c r="H24" s="52"/>
      <c r="I24" s="52"/>
      <c r="J24" s="52"/>
      <c r="K24" s="52">
        <v>172</v>
      </c>
      <c r="L24" s="52">
        <v>602</v>
      </c>
      <c r="M24" s="52">
        <v>649</v>
      </c>
      <c r="N24" s="52">
        <f>SUM(B24:M24)</f>
        <v>4808</v>
      </c>
    </row>
    <row r="25" spans="1:14" ht="16.2" x14ac:dyDescent="0.25">
      <c r="A25" s="50" t="s">
        <v>184</v>
      </c>
      <c r="B25" s="52"/>
      <c r="C25" s="52"/>
      <c r="D25" s="52"/>
      <c r="E25" s="52"/>
      <c r="F25" s="52">
        <v>655</v>
      </c>
      <c r="G25" s="58">
        <v>1481</v>
      </c>
      <c r="H25" s="52">
        <v>2810</v>
      </c>
      <c r="I25" s="52">
        <v>2761</v>
      </c>
      <c r="J25" s="52">
        <v>1235</v>
      </c>
      <c r="K25" s="52"/>
      <c r="L25" s="52"/>
      <c r="M25" s="52"/>
      <c r="N25" s="52">
        <f>SUM(B25:M25)</f>
        <v>8942</v>
      </c>
    </row>
    <row r="26" spans="1:14" ht="16.2" x14ac:dyDescent="0.25">
      <c r="A26" s="50" t="s">
        <v>183</v>
      </c>
      <c r="B26" s="52">
        <v>672</v>
      </c>
      <c r="C26" s="52">
        <v>532</v>
      </c>
      <c r="D26" s="52">
        <v>804</v>
      </c>
      <c r="E26" s="52">
        <v>1058</v>
      </c>
      <c r="F26" s="52">
        <v>689</v>
      </c>
      <c r="G26" s="58"/>
      <c r="H26" s="52"/>
      <c r="I26" s="52"/>
      <c r="J26" s="52"/>
      <c r="K26" s="52">
        <v>1039</v>
      </c>
      <c r="L26" s="52">
        <v>866</v>
      </c>
      <c r="M26" s="52">
        <v>816</v>
      </c>
      <c r="N26" s="52">
        <f>SUM(B26:M26)</f>
        <v>6476</v>
      </c>
    </row>
    <row r="27" spans="1:14" ht="16.2" x14ac:dyDescent="0.25">
      <c r="A27" s="50" t="s">
        <v>140</v>
      </c>
      <c r="B27" s="52"/>
      <c r="C27" s="52"/>
      <c r="D27" s="52"/>
      <c r="E27" s="52"/>
      <c r="F27" s="52">
        <v>3</v>
      </c>
      <c r="G27" s="58">
        <v>11</v>
      </c>
      <c r="H27" s="52">
        <v>8</v>
      </c>
      <c r="I27" s="52">
        <v>6</v>
      </c>
      <c r="J27" s="52">
        <v>9</v>
      </c>
      <c r="K27" s="52"/>
      <c r="L27" s="52"/>
      <c r="M27" s="52"/>
      <c r="N27" s="52">
        <f t="shared" si="1"/>
        <v>37</v>
      </c>
    </row>
    <row r="28" spans="1:14" ht="16.2" x14ac:dyDescent="0.25">
      <c r="A28" s="50" t="s">
        <v>141</v>
      </c>
      <c r="B28" s="52"/>
      <c r="C28" s="52">
        <v>1</v>
      </c>
      <c r="D28" s="52"/>
      <c r="E28" s="52">
        <v>1</v>
      </c>
      <c r="F28" s="52">
        <v>2</v>
      </c>
      <c r="G28" s="58"/>
      <c r="H28" s="52"/>
      <c r="I28" s="52"/>
      <c r="J28" s="52"/>
      <c r="K28" s="52"/>
      <c r="L28" s="52"/>
      <c r="M28" s="52">
        <v>2</v>
      </c>
      <c r="N28" s="52">
        <f t="shared" si="1"/>
        <v>6</v>
      </c>
    </row>
    <row r="29" spans="1:14" ht="16.2" x14ac:dyDescent="0.25">
      <c r="A29" s="50" t="s">
        <v>91</v>
      </c>
      <c r="B29" s="52"/>
      <c r="C29" s="52"/>
      <c r="D29" s="52"/>
      <c r="E29" s="52"/>
      <c r="F29" s="52"/>
      <c r="G29" s="58"/>
      <c r="H29" s="52"/>
      <c r="I29" s="52"/>
      <c r="J29" s="52"/>
      <c r="K29" s="52"/>
      <c r="L29" s="52"/>
      <c r="M29" s="52"/>
      <c r="N29" s="52">
        <f>SUM(B29:M29)</f>
        <v>0</v>
      </c>
    </row>
    <row r="30" spans="1:14" ht="16.2" x14ac:dyDescent="0.25">
      <c r="A30" s="50" t="s">
        <v>15</v>
      </c>
      <c r="B30" s="52">
        <v>1225</v>
      </c>
      <c r="C30" s="52">
        <v>1475</v>
      </c>
      <c r="D30" s="52">
        <v>1625</v>
      </c>
      <c r="E30" s="52">
        <v>2375</v>
      </c>
      <c r="F30" s="52">
        <v>2075</v>
      </c>
      <c r="G30" s="58">
        <v>2375</v>
      </c>
      <c r="H30" s="52">
        <v>2075</v>
      </c>
      <c r="I30" s="52">
        <v>2325</v>
      </c>
      <c r="J30" s="52">
        <v>2375</v>
      </c>
      <c r="K30" s="52">
        <v>2225</v>
      </c>
      <c r="L30" s="52">
        <v>1800</v>
      </c>
      <c r="M30" s="52">
        <v>1575</v>
      </c>
      <c r="N30" s="52">
        <f>SUM(B30:M30)</f>
        <v>23525</v>
      </c>
    </row>
    <row r="31" spans="1:14" ht="16.2" x14ac:dyDescent="0.25">
      <c r="A31" s="50" t="s">
        <v>116</v>
      </c>
      <c r="B31" s="52"/>
      <c r="C31" s="52"/>
      <c r="D31" s="52"/>
      <c r="E31" s="52"/>
      <c r="F31" s="52">
        <v>22</v>
      </c>
      <c r="G31" s="58">
        <v>63</v>
      </c>
      <c r="H31" s="52">
        <v>136</v>
      </c>
      <c r="I31" s="52">
        <v>133</v>
      </c>
      <c r="J31" s="52">
        <v>50</v>
      </c>
      <c r="K31" s="52"/>
      <c r="L31" s="52"/>
      <c r="M31" s="52"/>
      <c r="N31" s="52">
        <f>SUM(B31:M31)</f>
        <v>404</v>
      </c>
    </row>
    <row r="32" spans="1:14" ht="16.2" x14ac:dyDescent="0.25">
      <c r="A32" s="50" t="s">
        <v>142</v>
      </c>
      <c r="B32" s="52">
        <v>20</v>
      </c>
      <c r="C32" s="52"/>
      <c r="D32" s="52">
        <v>10</v>
      </c>
      <c r="E32" s="52">
        <v>18</v>
      </c>
      <c r="F32" s="52">
        <v>17</v>
      </c>
      <c r="G32" s="58"/>
      <c r="H32" s="52"/>
      <c r="I32" s="52"/>
      <c r="J32" s="52"/>
      <c r="K32" s="52">
        <v>14</v>
      </c>
      <c r="L32" s="52">
        <v>5</v>
      </c>
      <c r="M32" s="52">
        <v>1</v>
      </c>
      <c r="N32" s="52">
        <f>SUM(B32:M32)</f>
        <v>85</v>
      </c>
    </row>
    <row r="33" spans="1:14" ht="16.2" x14ac:dyDescent="0.25">
      <c r="A33" s="50" t="s">
        <v>118</v>
      </c>
      <c r="B33" s="52"/>
      <c r="C33" s="52"/>
      <c r="D33" s="52"/>
      <c r="E33" s="52"/>
      <c r="F33" s="52">
        <v>72</v>
      </c>
      <c r="G33" s="58">
        <v>248</v>
      </c>
      <c r="H33" s="52">
        <v>226</v>
      </c>
      <c r="I33" s="52">
        <v>233</v>
      </c>
      <c r="J33" s="52">
        <v>173</v>
      </c>
      <c r="K33" s="52"/>
      <c r="L33" s="52"/>
      <c r="M33" s="52"/>
      <c r="N33" s="52">
        <f t="shared" si="1"/>
        <v>952</v>
      </c>
    </row>
    <row r="34" spans="1:14" ht="16.2" x14ac:dyDescent="0.25">
      <c r="A34" s="50" t="s">
        <v>147</v>
      </c>
      <c r="B34" s="52">
        <v>161</v>
      </c>
      <c r="C34" s="52">
        <v>156</v>
      </c>
      <c r="D34" s="52">
        <v>159</v>
      </c>
      <c r="E34" s="52">
        <v>198</v>
      </c>
      <c r="F34" s="52">
        <v>117</v>
      </c>
      <c r="G34" s="58"/>
      <c r="H34" s="52"/>
      <c r="I34" s="52"/>
      <c r="J34" s="52"/>
      <c r="K34" s="52">
        <v>45</v>
      </c>
      <c r="L34" s="52">
        <v>169</v>
      </c>
      <c r="M34" s="52">
        <v>170</v>
      </c>
      <c r="N34" s="52">
        <f t="shared" si="1"/>
        <v>1175</v>
      </c>
    </row>
    <row r="35" spans="1:14" ht="16.2" x14ac:dyDescent="0.25">
      <c r="A35" s="50" t="s">
        <v>119</v>
      </c>
      <c r="B35" s="52"/>
      <c r="C35" s="52"/>
      <c r="D35" s="52"/>
      <c r="E35" s="52"/>
      <c r="F35" s="52">
        <v>24</v>
      </c>
      <c r="G35" s="58">
        <v>70</v>
      </c>
      <c r="H35" s="52">
        <v>99</v>
      </c>
      <c r="I35" s="52">
        <v>110</v>
      </c>
      <c r="J35" s="52">
        <v>105</v>
      </c>
      <c r="K35" s="52"/>
      <c r="L35" s="52"/>
      <c r="M35" s="52"/>
      <c r="N35" s="52">
        <f t="shared" si="1"/>
        <v>408</v>
      </c>
    </row>
    <row r="36" spans="1:14" ht="16.2" x14ac:dyDescent="0.25">
      <c r="A36" s="50" t="s">
        <v>148</v>
      </c>
      <c r="B36" s="52">
        <v>53</v>
      </c>
      <c r="C36" s="52">
        <v>78</v>
      </c>
      <c r="D36" s="52">
        <v>51</v>
      </c>
      <c r="E36" s="52">
        <v>100</v>
      </c>
      <c r="F36" s="52">
        <v>40</v>
      </c>
      <c r="G36" s="58"/>
      <c r="H36" s="52"/>
      <c r="I36" s="52"/>
      <c r="J36" s="52"/>
      <c r="K36" s="52">
        <v>15</v>
      </c>
      <c r="L36" s="52">
        <v>98</v>
      </c>
      <c r="M36" s="52">
        <v>64</v>
      </c>
      <c r="N36" s="52">
        <f t="shared" si="1"/>
        <v>499</v>
      </c>
    </row>
    <row r="37" spans="1:14" ht="16.2" x14ac:dyDescent="0.25">
      <c r="A37" s="50" t="s">
        <v>120</v>
      </c>
      <c r="B37" s="52"/>
      <c r="C37" s="52"/>
      <c r="D37" s="52"/>
      <c r="E37" s="52"/>
      <c r="F37" s="52">
        <v>21</v>
      </c>
      <c r="G37" s="58">
        <v>69</v>
      </c>
      <c r="H37" s="52">
        <v>74</v>
      </c>
      <c r="I37" s="52">
        <v>94</v>
      </c>
      <c r="J37" s="52">
        <v>52</v>
      </c>
      <c r="K37" s="52"/>
      <c r="L37" s="52"/>
      <c r="M37" s="52"/>
      <c r="N37" s="52">
        <f t="shared" si="1"/>
        <v>310</v>
      </c>
    </row>
    <row r="38" spans="1:14" ht="16.2" x14ac:dyDescent="0.25">
      <c r="A38" s="50" t="s">
        <v>149</v>
      </c>
      <c r="B38" s="52">
        <v>54</v>
      </c>
      <c r="C38" s="52">
        <v>37</v>
      </c>
      <c r="D38" s="52">
        <v>38</v>
      </c>
      <c r="E38" s="52">
        <v>57</v>
      </c>
      <c r="F38" s="52">
        <v>39</v>
      </c>
      <c r="G38" s="58"/>
      <c r="H38" s="52"/>
      <c r="I38" s="52"/>
      <c r="J38" s="52"/>
      <c r="K38" s="52">
        <v>18</v>
      </c>
      <c r="L38" s="52">
        <v>48</v>
      </c>
      <c r="M38" s="52">
        <v>41</v>
      </c>
      <c r="N38" s="52">
        <f t="shared" si="1"/>
        <v>332</v>
      </c>
    </row>
    <row r="39" spans="1:14" ht="16.2" x14ac:dyDescent="0.25">
      <c r="A39" s="50" t="s">
        <v>121</v>
      </c>
      <c r="B39" s="52"/>
      <c r="C39" s="52"/>
      <c r="D39" s="52"/>
      <c r="E39" s="52"/>
      <c r="F39" s="52">
        <v>16</v>
      </c>
      <c r="G39" s="58">
        <v>66</v>
      </c>
      <c r="H39" s="52">
        <v>82</v>
      </c>
      <c r="I39" s="52">
        <v>83</v>
      </c>
      <c r="J39" s="52">
        <v>71</v>
      </c>
      <c r="K39" s="52"/>
      <c r="L39" s="52"/>
      <c r="M39" s="52"/>
      <c r="N39" s="52">
        <f t="shared" si="1"/>
        <v>318</v>
      </c>
    </row>
    <row r="40" spans="1:14" ht="16.2" x14ac:dyDescent="0.25">
      <c r="A40" s="50" t="s">
        <v>150</v>
      </c>
      <c r="B40" s="52">
        <v>29</v>
      </c>
      <c r="C40" s="52">
        <v>18</v>
      </c>
      <c r="D40" s="52">
        <v>19</v>
      </c>
      <c r="E40" s="52">
        <v>52</v>
      </c>
      <c r="F40" s="52">
        <v>41</v>
      </c>
      <c r="G40" s="58"/>
      <c r="H40" s="52"/>
      <c r="I40" s="52"/>
      <c r="J40" s="52"/>
      <c r="K40" s="52">
        <v>14</v>
      </c>
      <c r="L40" s="52">
        <v>33</v>
      </c>
      <c r="M40" s="52">
        <v>29</v>
      </c>
      <c r="N40" s="52">
        <f t="shared" si="1"/>
        <v>235</v>
      </c>
    </row>
    <row r="41" spans="1:14" ht="16.2" x14ac:dyDescent="0.25">
      <c r="A41" s="50" t="s">
        <v>122</v>
      </c>
      <c r="B41" s="52"/>
      <c r="C41" s="52"/>
      <c r="D41" s="52"/>
      <c r="E41" s="52"/>
      <c r="F41" s="52">
        <v>8</v>
      </c>
      <c r="G41" s="58">
        <v>24</v>
      </c>
      <c r="H41" s="52">
        <v>38</v>
      </c>
      <c r="I41" s="52">
        <v>35</v>
      </c>
      <c r="J41" s="52">
        <v>38</v>
      </c>
      <c r="K41" s="52"/>
      <c r="L41" s="52"/>
      <c r="M41" s="52"/>
      <c r="N41" s="52">
        <f t="shared" si="1"/>
        <v>143</v>
      </c>
    </row>
    <row r="42" spans="1:14" ht="16.2" x14ac:dyDescent="0.25">
      <c r="A42" s="50" t="s">
        <v>151</v>
      </c>
      <c r="B42" s="52">
        <v>8</v>
      </c>
      <c r="C42" s="52">
        <v>8</v>
      </c>
      <c r="D42" s="52">
        <v>15</v>
      </c>
      <c r="E42" s="52">
        <v>21</v>
      </c>
      <c r="F42" s="52">
        <v>20</v>
      </c>
      <c r="G42" s="58"/>
      <c r="H42" s="52"/>
      <c r="I42" s="52"/>
      <c r="J42" s="52"/>
      <c r="K42" s="52">
        <v>3</v>
      </c>
      <c r="L42" s="52">
        <v>9</v>
      </c>
      <c r="M42" s="52">
        <v>8</v>
      </c>
      <c r="N42" s="52">
        <f t="shared" si="1"/>
        <v>92</v>
      </c>
    </row>
    <row r="43" spans="1:14" ht="16.2" x14ac:dyDescent="0.25">
      <c r="A43" s="50" t="s">
        <v>123</v>
      </c>
      <c r="B43" s="52"/>
      <c r="C43" s="52"/>
      <c r="D43" s="52"/>
      <c r="E43" s="52"/>
      <c r="F43" s="52">
        <v>1</v>
      </c>
      <c r="G43" s="58">
        <v>13</v>
      </c>
      <c r="H43" s="52">
        <v>10</v>
      </c>
      <c r="I43" s="52">
        <v>14</v>
      </c>
      <c r="J43" s="52">
        <v>4</v>
      </c>
      <c r="K43" s="52"/>
      <c r="L43" s="52"/>
      <c r="M43" s="52"/>
      <c r="N43" s="52">
        <f t="shared" si="1"/>
        <v>42</v>
      </c>
    </row>
    <row r="44" spans="1:14" ht="16.2" x14ac:dyDescent="0.25">
      <c r="A44" s="50" t="s">
        <v>152</v>
      </c>
      <c r="B44" s="52">
        <v>1</v>
      </c>
      <c r="C44" s="52">
        <v>6</v>
      </c>
      <c r="D44" s="52">
        <v>4</v>
      </c>
      <c r="E44" s="52">
        <v>7</v>
      </c>
      <c r="F44" s="52">
        <v>1</v>
      </c>
      <c r="G44" s="58"/>
      <c r="H44" s="52"/>
      <c r="I44" s="52"/>
      <c r="J44" s="52"/>
      <c r="K44" s="52">
        <v>5</v>
      </c>
      <c r="L44" s="52">
        <v>8</v>
      </c>
      <c r="M44" s="52">
        <v>7</v>
      </c>
      <c r="N44" s="52">
        <f t="shared" si="1"/>
        <v>39</v>
      </c>
    </row>
    <row r="45" spans="1:14" ht="16.2" x14ac:dyDescent="0.25">
      <c r="A45" s="50" t="s">
        <v>124</v>
      </c>
      <c r="B45" s="52"/>
      <c r="C45" s="52"/>
      <c r="D45" s="52"/>
      <c r="E45" s="52"/>
      <c r="F45" s="52">
        <v>2</v>
      </c>
      <c r="G45" s="58">
        <v>2</v>
      </c>
      <c r="H45" s="52">
        <v>4</v>
      </c>
      <c r="I45" s="52">
        <v>1</v>
      </c>
      <c r="J45" s="52">
        <v>3</v>
      </c>
      <c r="K45" s="52"/>
      <c r="L45" s="52"/>
      <c r="M45" s="52"/>
      <c r="N45" s="52">
        <f t="shared" si="1"/>
        <v>12</v>
      </c>
    </row>
    <row r="46" spans="1:14" ht="16.2" x14ac:dyDescent="0.25">
      <c r="A46" s="50" t="s">
        <v>153</v>
      </c>
      <c r="B46" s="52">
        <v>1</v>
      </c>
      <c r="C46" s="52">
        <v>2</v>
      </c>
      <c r="D46" s="52">
        <v>1</v>
      </c>
      <c r="E46" s="52"/>
      <c r="F46" s="52"/>
      <c r="G46" s="58"/>
      <c r="H46" s="52"/>
      <c r="I46" s="52"/>
      <c r="J46" s="52"/>
      <c r="K46" s="52">
        <v>2</v>
      </c>
      <c r="L46" s="52">
        <v>2</v>
      </c>
      <c r="M46" s="52">
        <v>1</v>
      </c>
      <c r="N46" s="52">
        <f t="shared" si="1"/>
        <v>9</v>
      </c>
    </row>
    <row r="47" spans="1:14" ht="16.2" x14ac:dyDescent="0.25">
      <c r="A47" s="50" t="s">
        <v>125</v>
      </c>
      <c r="B47" s="52"/>
      <c r="C47" s="52"/>
      <c r="D47" s="52"/>
      <c r="E47" s="52"/>
      <c r="F47" s="52"/>
      <c r="G47" s="58">
        <v>1</v>
      </c>
      <c r="H47" s="52"/>
      <c r="I47" s="52">
        <v>1</v>
      </c>
      <c r="J47" s="52">
        <v>2</v>
      </c>
      <c r="K47" s="52"/>
      <c r="L47" s="52"/>
      <c r="M47" s="52"/>
      <c r="N47" s="52">
        <f t="shared" si="1"/>
        <v>4</v>
      </c>
    </row>
    <row r="48" spans="1:14" ht="16.2" x14ac:dyDescent="0.25">
      <c r="A48" s="50" t="s">
        <v>154</v>
      </c>
      <c r="B48" s="52"/>
      <c r="C48" s="52">
        <v>1</v>
      </c>
      <c r="D48" s="52">
        <v>2</v>
      </c>
      <c r="E48" s="52">
        <v>1</v>
      </c>
      <c r="F48" s="52"/>
      <c r="G48" s="58"/>
      <c r="H48" s="52"/>
      <c r="I48" s="52"/>
      <c r="J48" s="52"/>
      <c r="K48" s="52"/>
      <c r="L48" s="52"/>
      <c r="M48" s="52">
        <v>1</v>
      </c>
      <c r="N48" s="52">
        <f t="shared" si="1"/>
        <v>5</v>
      </c>
    </row>
    <row r="49" spans="1:14" ht="16.2" x14ac:dyDescent="0.25">
      <c r="A49" s="50" t="s">
        <v>126</v>
      </c>
      <c r="B49" s="52"/>
      <c r="C49" s="52"/>
      <c r="D49" s="52"/>
      <c r="E49" s="52"/>
      <c r="F49" s="52">
        <v>1</v>
      </c>
      <c r="G49" s="58">
        <v>2</v>
      </c>
      <c r="H49" s="52">
        <v>2</v>
      </c>
      <c r="I49" s="52">
        <v>2</v>
      </c>
      <c r="J49" s="52">
        <v>2</v>
      </c>
      <c r="K49" s="52"/>
      <c r="L49" s="52"/>
      <c r="M49" s="52"/>
      <c r="N49" s="52">
        <f t="shared" si="1"/>
        <v>9</v>
      </c>
    </row>
    <row r="50" spans="1:14" ht="16.2" x14ac:dyDescent="0.25">
      <c r="A50" s="57" t="s">
        <v>155</v>
      </c>
      <c r="B50" s="55"/>
      <c r="C50" s="52">
        <v>1</v>
      </c>
      <c r="D50" s="52">
        <v>1</v>
      </c>
      <c r="E50" s="52"/>
      <c r="F50" s="52"/>
      <c r="G50" s="58"/>
      <c r="H50" s="52"/>
      <c r="I50" s="52"/>
      <c r="J50" s="52"/>
      <c r="K50" s="52"/>
      <c r="L50" s="52">
        <v>1</v>
      </c>
      <c r="M50" s="52"/>
      <c r="N50" s="52">
        <f t="shared" si="1"/>
        <v>3</v>
      </c>
    </row>
    <row r="51" spans="1:14" ht="16.2" x14ac:dyDescent="0.25">
      <c r="A51" s="56" t="s">
        <v>77</v>
      </c>
      <c r="B51" s="58">
        <v>18</v>
      </c>
      <c r="C51" s="52">
        <v>18</v>
      </c>
      <c r="D51" s="52">
        <v>19</v>
      </c>
      <c r="E51" s="52">
        <v>18</v>
      </c>
      <c r="F51" s="52">
        <v>20</v>
      </c>
      <c r="G51" s="52">
        <v>13</v>
      </c>
      <c r="H51" s="52"/>
      <c r="I51" s="52"/>
      <c r="J51" s="52">
        <v>20</v>
      </c>
      <c r="K51" s="52">
        <v>22</v>
      </c>
      <c r="L51" s="52">
        <v>17</v>
      </c>
      <c r="M51" s="52">
        <v>15</v>
      </c>
      <c r="N51" s="58">
        <f t="shared" si="1"/>
        <v>180</v>
      </c>
    </row>
    <row r="52" spans="1:14" ht="16.2" x14ac:dyDescent="0.25">
      <c r="A52" s="59" t="s">
        <v>26</v>
      </c>
      <c r="B52" s="58">
        <v>714</v>
      </c>
      <c r="C52" s="52">
        <v>639</v>
      </c>
      <c r="D52" s="52">
        <v>698</v>
      </c>
      <c r="E52" s="52">
        <v>687</v>
      </c>
      <c r="F52" s="52">
        <v>736</v>
      </c>
      <c r="G52" s="52">
        <v>721</v>
      </c>
      <c r="H52" s="52">
        <v>753</v>
      </c>
      <c r="I52" s="52">
        <v>762</v>
      </c>
      <c r="J52" s="52">
        <v>724</v>
      </c>
      <c r="K52" s="52">
        <v>701</v>
      </c>
      <c r="L52" s="52">
        <v>1013</v>
      </c>
      <c r="M52" s="52">
        <v>958</v>
      </c>
      <c r="N52" s="58">
        <f t="shared" si="1"/>
        <v>9106</v>
      </c>
    </row>
    <row r="53" spans="1:14" ht="16.2" x14ac:dyDescent="0.25">
      <c r="A53" s="56" t="s">
        <v>158</v>
      </c>
      <c r="B53">
        <f t="shared" ref="B53:N53" si="2">SUM(B4:B52)</f>
        <v>12387</v>
      </c>
      <c r="C53">
        <f t="shared" si="2"/>
        <v>12272</v>
      </c>
      <c r="D53">
        <f t="shared" si="2"/>
        <v>12801</v>
      </c>
      <c r="E53">
        <f t="shared" si="2"/>
        <v>16385</v>
      </c>
      <c r="F53">
        <f t="shared" si="2"/>
        <v>18367</v>
      </c>
      <c r="G53">
        <f t="shared" si="2"/>
        <v>18285</v>
      </c>
      <c r="H53">
        <f t="shared" si="2"/>
        <v>22103</v>
      </c>
      <c r="I53">
        <f t="shared" si="2"/>
        <v>23312</v>
      </c>
      <c r="J53">
        <f t="shared" si="2"/>
        <v>16027</v>
      </c>
      <c r="K53">
        <f t="shared" si="2"/>
        <v>11333</v>
      </c>
      <c r="L53">
        <f t="shared" si="2"/>
        <v>13702</v>
      </c>
      <c r="M53">
        <f t="shared" si="2"/>
        <v>14001</v>
      </c>
      <c r="N53">
        <f t="shared" si="2"/>
        <v>190975</v>
      </c>
    </row>
    <row r="55" spans="1:14" ht="16.2" x14ac:dyDescent="0.25">
      <c r="A55" s="39" t="s">
        <v>86</v>
      </c>
      <c r="B55" s="40">
        <f t="shared" ref="B55:D55" si="3">+B4+B8+B5+B6</f>
        <v>3610</v>
      </c>
      <c r="C55" s="40">
        <f t="shared" si="3"/>
        <v>3330</v>
      </c>
      <c r="D55" s="40">
        <f t="shared" si="3"/>
        <v>2920</v>
      </c>
      <c r="E55" s="40">
        <f>+E4+E8+E5+E6</f>
        <v>4270</v>
      </c>
      <c r="F55" s="40">
        <f t="shared" ref="F55:N55" si="4">+F4+F8+F5+F6</f>
        <v>4410</v>
      </c>
      <c r="G55" s="40">
        <f t="shared" si="4"/>
        <v>4310</v>
      </c>
      <c r="H55" s="40">
        <f t="shared" si="4"/>
        <v>3560</v>
      </c>
      <c r="I55" s="40">
        <f t="shared" si="4"/>
        <v>4230</v>
      </c>
      <c r="J55" s="40">
        <f t="shared" si="4"/>
        <v>2300</v>
      </c>
      <c r="K55" s="40">
        <f t="shared" si="4"/>
        <v>1290</v>
      </c>
      <c r="L55" s="40">
        <f t="shared" si="4"/>
        <v>3320</v>
      </c>
      <c r="M55" s="40">
        <f t="shared" si="4"/>
        <v>3630</v>
      </c>
      <c r="N55" s="40">
        <f t="shared" si="4"/>
        <v>41180</v>
      </c>
    </row>
    <row r="56" spans="1:14" ht="16.2" x14ac:dyDescent="0.25">
      <c r="A56" s="39" t="s">
        <v>157</v>
      </c>
      <c r="B56" s="40">
        <f>+B12+B30</f>
        <v>2575</v>
      </c>
      <c r="C56" s="40">
        <f t="shared" ref="C56:M56" si="5">+C12+C30</f>
        <v>3175</v>
      </c>
      <c r="D56" s="40">
        <f t="shared" si="5"/>
        <v>3425</v>
      </c>
      <c r="E56" s="40">
        <f t="shared" si="5"/>
        <v>3950</v>
      </c>
      <c r="F56" s="40">
        <f t="shared" si="5"/>
        <v>4675</v>
      </c>
      <c r="G56" s="40">
        <f t="shared" si="5"/>
        <v>4425</v>
      </c>
      <c r="H56" s="40">
        <f t="shared" si="5"/>
        <v>4375</v>
      </c>
      <c r="I56" s="40">
        <f t="shared" si="5"/>
        <v>4825</v>
      </c>
      <c r="J56" s="40">
        <f t="shared" si="5"/>
        <v>5425</v>
      </c>
      <c r="K56" s="40">
        <f t="shared" si="5"/>
        <v>5100</v>
      </c>
      <c r="L56" s="40">
        <f t="shared" si="5"/>
        <v>3125</v>
      </c>
      <c r="M56" s="40">
        <f t="shared" si="5"/>
        <v>3225</v>
      </c>
      <c r="N56" s="40">
        <f>+N12+N30</f>
        <v>48300</v>
      </c>
    </row>
    <row r="57" spans="1:14" ht="16.2" x14ac:dyDescent="0.25">
      <c r="A57" s="33" t="s">
        <v>50</v>
      </c>
      <c r="B57" s="40">
        <f>+B4+B7+B8+B9+B15+B16+B19+B20+B23+B24+B27+B28+B33+B34+B35+B36+B37+B38+B39+B40+B41+B42+B43+B44+B45+B46+B47+B48+B49+B50</f>
        <v>4616</v>
      </c>
      <c r="C57" s="40">
        <f t="shared" ref="C57:H57" si="6">+C4+C7+C8+C9+C15+C16+C19+C20+C23+C24+C27+C28+C33+C34+C35+C36+C37+C38+C39+C40+C41+C42+C43+C44+C45+C46+C47+C48+C49+C50</f>
        <v>4414</v>
      </c>
      <c r="D57" s="40">
        <f t="shared" si="6"/>
        <v>4208</v>
      </c>
      <c r="E57" s="40">
        <f t="shared" si="6"/>
        <v>6288</v>
      </c>
      <c r="F57" s="40">
        <f t="shared" si="6"/>
        <v>6314</v>
      </c>
      <c r="G57" s="40">
        <f t="shared" si="6"/>
        <v>6255</v>
      </c>
      <c r="H57" s="40">
        <f t="shared" si="6"/>
        <v>7385</v>
      </c>
      <c r="I57" s="40">
        <f>+I4+I7+I8+I9+I15+I16+I19+I20+I23+I24+I27+I28+I33+I34+I35+I36+I37+I38+I39+I40+I41+I42+I43+I44+I45+I46+I47+I48+I49+I50+I17</f>
        <v>7767</v>
      </c>
      <c r="J57" s="40">
        <f t="shared" ref="J57:N57" si="7">+J4+J7+J8+J9+J15+J16+J19+J20+J23+J24+J27+J28+J33+J34+J35+J36+J37+J38+J39+J40+J41+J42+J43+J44+J45+J46+J47+J48+J49+J50+J17</f>
        <v>4541</v>
      </c>
      <c r="K57" s="40">
        <f t="shared" si="7"/>
        <v>1593</v>
      </c>
      <c r="L57" s="40">
        <f t="shared" si="7"/>
        <v>5017</v>
      </c>
      <c r="M57" s="40">
        <f t="shared" si="7"/>
        <v>4916</v>
      </c>
      <c r="N57" s="40">
        <f t="shared" si="7"/>
        <v>63316</v>
      </c>
    </row>
    <row r="58" spans="1:14" ht="16.2" x14ac:dyDescent="0.25">
      <c r="A58" s="33" t="s">
        <v>28</v>
      </c>
      <c r="B58" s="40">
        <f>SUM(B4:B50)-B22-B29-B21</f>
        <v>11637</v>
      </c>
      <c r="C58" s="40">
        <f t="shared" ref="C58:M58" si="8">SUM(C4:C50)-C22-C29-C21</f>
        <v>11597</v>
      </c>
      <c r="D58" s="40">
        <f t="shared" si="8"/>
        <v>12065</v>
      </c>
      <c r="E58" s="40">
        <f t="shared" si="8"/>
        <v>15662</v>
      </c>
      <c r="F58" s="40">
        <f t="shared" si="8"/>
        <v>17590</v>
      </c>
      <c r="G58" s="40">
        <f t="shared" si="8"/>
        <v>17538</v>
      </c>
      <c r="H58" s="40">
        <f t="shared" si="8"/>
        <v>21348</v>
      </c>
      <c r="I58" s="40">
        <f t="shared" si="8"/>
        <v>22549</v>
      </c>
      <c r="J58" s="40">
        <f t="shared" si="8"/>
        <v>15262</v>
      </c>
      <c r="K58" s="40">
        <f t="shared" si="8"/>
        <v>10588</v>
      </c>
      <c r="L58" s="40">
        <f t="shared" si="8"/>
        <v>12654</v>
      </c>
      <c r="M58" s="40">
        <f t="shared" si="8"/>
        <v>13013</v>
      </c>
      <c r="N58" s="40">
        <f>SUM(N4:N50)-N22-N29-N21</f>
        <v>181503</v>
      </c>
    </row>
    <row r="59" spans="1:14" ht="16.2" x14ac:dyDescent="0.25">
      <c r="A59" s="33" t="s">
        <v>46</v>
      </c>
      <c r="B59" s="40">
        <f>SUM(B4:B50)-B22-B29-B51-B52-B21</f>
        <v>10905</v>
      </c>
      <c r="C59" s="40">
        <f t="shared" ref="C59:M59" si="9">SUM(C4:C50)-C22-C29-C51-C52-C21</f>
        <v>10940</v>
      </c>
      <c r="D59" s="40">
        <f t="shared" si="9"/>
        <v>11348</v>
      </c>
      <c r="E59" s="40">
        <f t="shared" si="9"/>
        <v>14957</v>
      </c>
      <c r="F59" s="40">
        <f t="shared" si="9"/>
        <v>16834</v>
      </c>
      <c r="G59" s="40">
        <f t="shared" si="9"/>
        <v>16804</v>
      </c>
      <c r="H59" s="40">
        <f t="shared" si="9"/>
        <v>20595</v>
      </c>
      <c r="I59" s="40">
        <f t="shared" si="9"/>
        <v>21787</v>
      </c>
      <c r="J59" s="40">
        <f t="shared" si="9"/>
        <v>14518</v>
      </c>
      <c r="K59" s="40">
        <f t="shared" si="9"/>
        <v>9865</v>
      </c>
      <c r="L59" s="40">
        <f t="shared" si="9"/>
        <v>11624</v>
      </c>
      <c r="M59" s="40">
        <f t="shared" si="9"/>
        <v>12040</v>
      </c>
      <c r="N59" s="40">
        <f>SUM(N4:N50)-N22-N29-N51-N52-N21</f>
        <v>172217</v>
      </c>
    </row>
    <row r="60" spans="1:14" ht="16.2" x14ac:dyDescent="0.25">
      <c r="A60" s="33" t="s">
        <v>52</v>
      </c>
      <c r="B60" s="40">
        <f>+B10+B11+B12+B13+B14+B25+B26+B31+B32</f>
        <v>3606</v>
      </c>
      <c r="C60" s="40">
        <f t="shared" ref="C60:M60" si="10">+C10+C11+C12+C13+C14+C25+C26+C31+C32</f>
        <v>3845</v>
      </c>
      <c r="D60" s="40">
        <f t="shared" si="10"/>
        <v>4602</v>
      </c>
      <c r="E60" s="40">
        <f t="shared" si="10"/>
        <v>4889</v>
      </c>
      <c r="F60" s="40">
        <f t="shared" si="10"/>
        <v>6989</v>
      </c>
      <c r="G60" s="40">
        <f t="shared" si="10"/>
        <v>6648</v>
      </c>
      <c r="H60" s="40">
        <f t="shared" si="10"/>
        <v>10187</v>
      </c>
      <c r="I60" s="40">
        <f t="shared" si="10"/>
        <v>10254</v>
      </c>
      <c r="J60" s="40">
        <f t="shared" si="10"/>
        <v>7204</v>
      </c>
      <c r="K60" s="40">
        <f t="shared" si="10"/>
        <v>6229</v>
      </c>
      <c r="L60" s="40">
        <f t="shared" si="10"/>
        <v>4116</v>
      </c>
      <c r="M60" s="40">
        <f t="shared" si="10"/>
        <v>4421</v>
      </c>
      <c r="N60" s="40">
        <f>+N10+N11+N12+N13+N14+N25+N26+N31+N32</f>
        <v>72990</v>
      </c>
    </row>
    <row r="61" spans="1:14" ht="16.2" x14ac:dyDescent="0.25">
      <c r="A61" s="36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5" spans="1:14" ht="16.2" x14ac:dyDescent="0.25">
      <c r="A65" s="39" t="s">
        <v>179</v>
      </c>
      <c r="B65" s="40">
        <f>+B4+B7+B8+B9+B5+B6</f>
        <v>3650</v>
      </c>
      <c r="C65" s="40">
        <f t="shared" ref="C65:N65" si="11">+C4+C7+C8+C9+C5+C6</f>
        <v>3330</v>
      </c>
      <c r="D65" s="40">
        <f t="shared" si="11"/>
        <v>2920</v>
      </c>
      <c r="E65" s="40">
        <f t="shared" si="11"/>
        <v>4310</v>
      </c>
      <c r="F65" s="40">
        <f t="shared" si="11"/>
        <v>4490</v>
      </c>
      <c r="G65" s="40">
        <f t="shared" si="11"/>
        <v>4330</v>
      </c>
      <c r="H65" s="40">
        <f t="shared" si="11"/>
        <v>3600</v>
      </c>
      <c r="I65" s="40">
        <f t="shared" si="11"/>
        <v>4270</v>
      </c>
      <c r="J65" s="40">
        <f t="shared" si="11"/>
        <v>2320</v>
      </c>
      <c r="K65" s="40">
        <f t="shared" si="11"/>
        <v>1310</v>
      </c>
      <c r="L65" s="40">
        <f t="shared" si="11"/>
        <v>3320</v>
      </c>
      <c r="M65" s="40">
        <f t="shared" si="11"/>
        <v>3630</v>
      </c>
      <c r="N65" s="40">
        <f t="shared" si="11"/>
        <v>41480</v>
      </c>
    </row>
    <row r="66" spans="1:14" ht="16.2" x14ac:dyDescent="0.25">
      <c r="A66" s="39" t="s">
        <v>177</v>
      </c>
      <c r="B66" s="40">
        <f>+B15+B16+B23+B24</f>
        <v>2836</v>
      </c>
      <c r="C66" s="40">
        <f t="shared" ref="C66:N66" si="12">+C15+C16+C23+C24</f>
        <v>2627</v>
      </c>
      <c r="D66" s="40">
        <f t="shared" si="12"/>
        <v>2619</v>
      </c>
      <c r="E66" s="40">
        <f t="shared" si="12"/>
        <v>3602</v>
      </c>
      <c r="F66" s="40">
        <f t="shared" si="12"/>
        <v>3577</v>
      </c>
      <c r="G66" s="40">
        <f t="shared" si="12"/>
        <v>3621</v>
      </c>
      <c r="H66" s="40">
        <f t="shared" si="12"/>
        <v>4827</v>
      </c>
      <c r="I66" s="40">
        <f t="shared" si="12"/>
        <v>5022</v>
      </c>
      <c r="J66" s="40">
        <f t="shared" si="12"/>
        <v>2820</v>
      </c>
      <c r="K66" s="40">
        <f t="shared" si="12"/>
        <v>704</v>
      </c>
      <c r="L66" s="40">
        <f t="shared" si="12"/>
        <v>3028</v>
      </c>
      <c r="M66" s="40">
        <f t="shared" si="12"/>
        <v>3054</v>
      </c>
      <c r="N66" s="40">
        <f t="shared" si="12"/>
        <v>38337</v>
      </c>
    </row>
    <row r="67" spans="1:14" ht="16.2" x14ac:dyDescent="0.25">
      <c r="A67" s="33" t="s">
        <v>178</v>
      </c>
      <c r="B67" s="40">
        <f>+B19+B20+B27+B28</f>
        <v>13</v>
      </c>
      <c r="C67" s="40">
        <f t="shared" ref="C67:N67" si="13">+C19+C20+C27+C28</f>
        <v>10</v>
      </c>
      <c r="D67" s="40">
        <f t="shared" si="13"/>
        <v>9</v>
      </c>
      <c r="E67" s="40">
        <f t="shared" si="13"/>
        <v>50</v>
      </c>
      <c r="F67" s="40">
        <f t="shared" si="13"/>
        <v>54</v>
      </c>
      <c r="G67" s="40">
        <f t="shared" si="13"/>
        <v>69</v>
      </c>
      <c r="H67" s="40">
        <f t="shared" si="13"/>
        <v>123</v>
      </c>
      <c r="I67" s="40">
        <f t="shared" si="13"/>
        <v>102</v>
      </c>
      <c r="J67" s="40">
        <f t="shared" si="13"/>
        <v>91</v>
      </c>
      <c r="K67" s="40">
        <f t="shared" si="13"/>
        <v>17</v>
      </c>
      <c r="L67" s="40">
        <f t="shared" si="13"/>
        <v>19</v>
      </c>
      <c r="M67" s="40">
        <f t="shared" si="13"/>
        <v>11</v>
      </c>
      <c r="N67" s="40">
        <f t="shared" si="13"/>
        <v>568</v>
      </c>
    </row>
    <row r="68" spans="1:14" ht="16.2" x14ac:dyDescent="0.25">
      <c r="A68" s="33" t="s">
        <v>180</v>
      </c>
      <c r="B68" s="40">
        <f>+B33+B34+B35+B36+B37+B38+B39+B40+B41+B42+B43+B44+B45+B46+B47+B48+B49+B50</f>
        <v>307</v>
      </c>
      <c r="C68" s="40">
        <f t="shared" ref="C68:H68" si="14">+C33+C34+C35+C36+C37+C38+C39+C40+C41+C42+C43+C44+C45+C46+C47+C48+C49+C50</f>
        <v>307</v>
      </c>
      <c r="D68" s="40">
        <f t="shared" si="14"/>
        <v>290</v>
      </c>
      <c r="E68" s="40">
        <f t="shared" si="14"/>
        <v>436</v>
      </c>
      <c r="F68" s="40">
        <f t="shared" si="14"/>
        <v>403</v>
      </c>
      <c r="G68" s="40">
        <f t="shared" si="14"/>
        <v>495</v>
      </c>
      <c r="H68" s="40">
        <f t="shared" si="14"/>
        <v>535</v>
      </c>
      <c r="I68" s="40">
        <f>+I33+I34+I35+I36+I37+I38+I39+I40+I41+I42+I43+I44+I45+I46+I47+I48+I49+I50+I17</f>
        <v>573</v>
      </c>
      <c r="J68" s="40">
        <f t="shared" ref="J68:N68" si="15">+J33+J34+J35+J36+J37+J38+J39+J40+J41+J42+J43+J44+J45+J46+J47+J48+J49+J50+J17</f>
        <v>450</v>
      </c>
      <c r="K68" s="40">
        <f t="shared" si="15"/>
        <v>102</v>
      </c>
      <c r="L68" s="40">
        <f t="shared" si="15"/>
        <v>370</v>
      </c>
      <c r="M68" s="40">
        <f t="shared" si="15"/>
        <v>321</v>
      </c>
      <c r="N68" s="40">
        <f t="shared" si="15"/>
        <v>4591</v>
      </c>
    </row>
    <row r="69" spans="1:14" ht="16.2" x14ac:dyDescent="0.25">
      <c r="A69" s="33" t="s">
        <v>157</v>
      </c>
      <c r="B69" s="40">
        <f>+B12+B30</f>
        <v>2575</v>
      </c>
      <c r="C69" s="40">
        <f t="shared" ref="C69:N69" si="16">+C12+C30</f>
        <v>3175</v>
      </c>
      <c r="D69" s="40">
        <f t="shared" si="16"/>
        <v>3425</v>
      </c>
      <c r="E69" s="40">
        <f t="shared" si="16"/>
        <v>3950</v>
      </c>
      <c r="F69" s="40">
        <f t="shared" si="16"/>
        <v>4675</v>
      </c>
      <c r="G69" s="40">
        <f t="shared" si="16"/>
        <v>4425</v>
      </c>
      <c r="H69" s="40">
        <f t="shared" si="16"/>
        <v>4375</v>
      </c>
      <c r="I69" s="40">
        <f t="shared" si="16"/>
        <v>4825</v>
      </c>
      <c r="J69" s="40">
        <f t="shared" si="16"/>
        <v>5425</v>
      </c>
      <c r="K69" s="40">
        <f t="shared" si="16"/>
        <v>5100</v>
      </c>
      <c r="L69" s="40">
        <f t="shared" si="16"/>
        <v>3125</v>
      </c>
      <c r="M69" s="40">
        <f t="shared" si="16"/>
        <v>3225</v>
      </c>
      <c r="N69" s="40">
        <f t="shared" si="16"/>
        <v>48300</v>
      </c>
    </row>
    <row r="70" spans="1:14" ht="16.2" x14ac:dyDescent="0.25">
      <c r="A70" s="33" t="s">
        <v>181</v>
      </c>
      <c r="B70" s="40">
        <f>+B13+B14+B25+B26</f>
        <v>2207</v>
      </c>
      <c r="C70" s="40">
        <f t="shared" ref="C70:N70" si="17">+C13+C14+C25+C26</f>
        <v>2116</v>
      </c>
      <c r="D70" s="40">
        <f t="shared" si="17"/>
        <v>2721</v>
      </c>
      <c r="E70" s="40">
        <f t="shared" si="17"/>
        <v>3191</v>
      </c>
      <c r="F70" s="40">
        <f t="shared" si="17"/>
        <v>4203</v>
      </c>
      <c r="G70" s="40">
        <f t="shared" si="17"/>
        <v>4363</v>
      </c>
      <c r="H70" s="40">
        <f t="shared" si="17"/>
        <v>7376</v>
      </c>
      <c r="I70" s="40">
        <f t="shared" si="17"/>
        <v>7320</v>
      </c>
      <c r="J70" s="40">
        <f t="shared" si="17"/>
        <v>3881</v>
      </c>
      <c r="K70" s="40">
        <f t="shared" si="17"/>
        <v>3250</v>
      </c>
      <c r="L70" s="40">
        <f t="shared" si="17"/>
        <v>2741</v>
      </c>
      <c r="M70" s="40">
        <f t="shared" si="17"/>
        <v>2739</v>
      </c>
      <c r="N70" s="40">
        <f t="shared" si="17"/>
        <v>46108</v>
      </c>
    </row>
    <row r="71" spans="1:14" ht="16.2" x14ac:dyDescent="0.25">
      <c r="A71" s="33" t="s">
        <v>182</v>
      </c>
      <c r="B71" s="40">
        <f>+B10+B11+B31+B32</f>
        <v>49</v>
      </c>
      <c r="C71" s="40">
        <f t="shared" ref="C71:N71" si="18">+C10+C11+C31+C32</f>
        <v>29</v>
      </c>
      <c r="D71" s="40">
        <f t="shared" si="18"/>
        <v>81</v>
      </c>
      <c r="E71" s="40">
        <f t="shared" si="18"/>
        <v>123</v>
      </c>
      <c r="F71" s="40">
        <f t="shared" si="18"/>
        <v>186</v>
      </c>
      <c r="G71" s="40">
        <f t="shared" si="18"/>
        <v>235</v>
      </c>
      <c r="H71" s="40">
        <f t="shared" si="18"/>
        <v>511</v>
      </c>
      <c r="I71" s="40">
        <f t="shared" si="18"/>
        <v>434</v>
      </c>
      <c r="J71" s="40">
        <f t="shared" si="18"/>
        <v>273</v>
      </c>
      <c r="K71" s="40">
        <f t="shared" si="18"/>
        <v>104</v>
      </c>
      <c r="L71" s="40">
        <f t="shared" si="18"/>
        <v>50</v>
      </c>
      <c r="M71" s="40">
        <f t="shared" si="18"/>
        <v>32</v>
      </c>
      <c r="N71" s="40">
        <f t="shared" si="18"/>
        <v>2107</v>
      </c>
    </row>
  </sheetData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71"/>
  <sheetViews>
    <sheetView zoomScale="7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RowHeight="15" x14ac:dyDescent="0.25"/>
  <cols>
    <col min="1" max="1" width="27" customWidth="1"/>
  </cols>
  <sheetData>
    <row r="1" spans="1:14" ht="18.600000000000001" x14ac:dyDescent="0.25">
      <c r="A1" s="48" t="s">
        <v>193</v>
      </c>
    </row>
    <row r="2" spans="1:14" x14ac:dyDescent="0.25">
      <c r="A2" s="49"/>
    </row>
    <row r="3" spans="1:14" ht="16.8" x14ac:dyDescent="0.25">
      <c r="A3" s="49"/>
      <c r="B3" s="47" t="s">
        <v>29</v>
      </c>
      <c r="C3" s="34" t="s">
        <v>30</v>
      </c>
      <c r="D3" s="34" t="s">
        <v>31</v>
      </c>
      <c r="E3" s="34" t="s">
        <v>32</v>
      </c>
      <c r="F3" s="34" t="s">
        <v>33</v>
      </c>
      <c r="G3" s="34" t="s">
        <v>34</v>
      </c>
      <c r="H3" s="34" t="s">
        <v>35</v>
      </c>
      <c r="I3" s="34" t="s">
        <v>36</v>
      </c>
      <c r="J3" s="34" t="s">
        <v>37</v>
      </c>
      <c r="K3" s="34" t="s">
        <v>38</v>
      </c>
      <c r="L3" s="34" t="s">
        <v>39</v>
      </c>
      <c r="M3" s="34" t="s">
        <v>40</v>
      </c>
      <c r="N3" s="35" t="s">
        <v>41</v>
      </c>
    </row>
    <row r="4" spans="1:14" ht="16.2" x14ac:dyDescent="0.25">
      <c r="A4" s="50" t="s">
        <v>190</v>
      </c>
      <c r="B4" s="52">
        <v>30</v>
      </c>
      <c r="C4" s="52">
        <v>60</v>
      </c>
      <c r="D4" s="52">
        <v>80</v>
      </c>
      <c r="E4" s="52">
        <v>20</v>
      </c>
      <c r="F4" s="52">
        <f>40+20</f>
        <v>60</v>
      </c>
      <c r="G4" s="58">
        <v>80</v>
      </c>
      <c r="H4" s="52">
        <v>80</v>
      </c>
      <c r="I4" s="52">
        <v>20</v>
      </c>
      <c r="J4" s="52">
        <v>10</v>
      </c>
      <c r="K4" s="52">
        <v>100</v>
      </c>
      <c r="L4" s="52">
        <v>30</v>
      </c>
      <c r="M4" s="52">
        <v>90</v>
      </c>
      <c r="N4" s="52">
        <f>SUM(B4:M4)</f>
        <v>660</v>
      </c>
    </row>
    <row r="5" spans="1:14" ht="16.2" x14ac:dyDescent="0.25">
      <c r="A5" s="50" t="s">
        <v>191</v>
      </c>
      <c r="B5" s="52">
        <v>70</v>
      </c>
      <c r="C5" s="52">
        <v>30</v>
      </c>
      <c r="D5" s="52">
        <v>20</v>
      </c>
      <c r="E5" s="52">
        <v>30</v>
      </c>
      <c r="F5" s="52">
        <v>50</v>
      </c>
      <c r="G5" s="58">
        <v>70</v>
      </c>
      <c r="H5" s="52">
        <v>20</v>
      </c>
      <c r="I5" s="52">
        <v>20</v>
      </c>
      <c r="J5" s="52">
        <v>20</v>
      </c>
      <c r="K5" s="52">
        <v>120</v>
      </c>
      <c r="L5" s="52">
        <v>20</v>
      </c>
      <c r="M5" s="52">
        <v>80</v>
      </c>
      <c r="N5" s="52">
        <f t="shared" ref="N5:N6" si="0">SUM(B5:M5)</f>
        <v>550</v>
      </c>
    </row>
    <row r="6" spans="1:14" ht="16.2" x14ac:dyDescent="0.25">
      <c r="A6" s="50" t="s">
        <v>186</v>
      </c>
      <c r="B6" s="52">
        <v>2080</v>
      </c>
      <c r="C6" s="52">
        <v>1920</v>
      </c>
      <c r="D6" s="52">
        <v>2060</v>
      </c>
      <c r="E6" s="52">
        <v>2180</v>
      </c>
      <c r="F6" s="52">
        <v>3020</v>
      </c>
      <c r="G6" s="58">
        <v>2380</v>
      </c>
      <c r="H6" s="52">
        <v>2360</v>
      </c>
      <c r="I6" s="52">
        <v>2160</v>
      </c>
      <c r="J6" s="52">
        <v>2360</v>
      </c>
      <c r="K6" s="52">
        <v>2160</v>
      </c>
      <c r="L6" s="52">
        <v>2020</v>
      </c>
      <c r="M6" s="52">
        <v>2020</v>
      </c>
      <c r="N6" s="52">
        <f t="shared" si="0"/>
        <v>26720</v>
      </c>
    </row>
    <row r="7" spans="1:14" ht="16.2" x14ac:dyDescent="0.25">
      <c r="A7" s="50" t="s">
        <v>59</v>
      </c>
      <c r="B7" s="52"/>
      <c r="C7" s="52"/>
      <c r="D7" s="52">
        <v>20</v>
      </c>
      <c r="E7" s="52"/>
      <c r="F7" s="52">
        <v>20</v>
      </c>
      <c r="G7" s="58">
        <v>60</v>
      </c>
      <c r="H7" s="52">
        <v>60</v>
      </c>
      <c r="I7" s="52">
        <v>80</v>
      </c>
      <c r="J7" s="52">
        <v>20</v>
      </c>
      <c r="K7" s="52">
        <v>20</v>
      </c>
      <c r="L7" s="52">
        <v>20</v>
      </c>
      <c r="M7" s="52"/>
      <c r="N7" s="52">
        <f>SUM(B7:M7)</f>
        <v>300</v>
      </c>
    </row>
    <row r="8" spans="1:14" ht="16.2" x14ac:dyDescent="0.25">
      <c r="A8" s="50" t="s">
        <v>187</v>
      </c>
      <c r="B8" s="52">
        <v>1380</v>
      </c>
      <c r="C8" s="52">
        <v>1600</v>
      </c>
      <c r="D8" s="52">
        <v>1320</v>
      </c>
      <c r="E8" s="52">
        <v>1660</v>
      </c>
      <c r="F8" s="52">
        <v>2320</v>
      </c>
      <c r="G8" s="58">
        <v>2040</v>
      </c>
      <c r="H8" s="52">
        <v>1820</v>
      </c>
      <c r="I8" s="52">
        <v>1880</v>
      </c>
      <c r="J8" s="52">
        <v>1620</v>
      </c>
      <c r="K8" s="52">
        <v>1460</v>
      </c>
      <c r="L8" s="52">
        <v>1380</v>
      </c>
      <c r="M8" s="52">
        <v>1500</v>
      </c>
      <c r="N8" s="52">
        <f>SUM(B8:M8)</f>
        <v>19980</v>
      </c>
    </row>
    <row r="9" spans="1:14" ht="16.2" x14ac:dyDescent="0.25">
      <c r="A9" s="50" t="s">
        <v>188</v>
      </c>
      <c r="B9" s="52"/>
      <c r="C9" s="52"/>
      <c r="D9" s="52"/>
      <c r="E9" s="52"/>
      <c r="F9" s="52">
        <v>20</v>
      </c>
      <c r="G9" s="58"/>
      <c r="H9" s="52">
        <v>20</v>
      </c>
      <c r="I9" s="52"/>
      <c r="J9" s="52"/>
      <c r="K9" s="52"/>
      <c r="L9" s="52"/>
      <c r="M9" s="52"/>
      <c r="N9" s="52">
        <f>SUM(B9:M9)</f>
        <v>40</v>
      </c>
    </row>
    <row r="10" spans="1:14" ht="16.2" x14ac:dyDescent="0.25">
      <c r="A10" s="50" t="s">
        <v>134</v>
      </c>
      <c r="B10" s="52"/>
      <c r="C10" s="52"/>
      <c r="D10" s="52"/>
      <c r="E10" s="52"/>
      <c r="F10" s="52">
        <v>37</v>
      </c>
      <c r="G10" s="58">
        <v>195</v>
      </c>
      <c r="H10" s="52">
        <v>356</v>
      </c>
      <c r="I10" s="52">
        <v>253</v>
      </c>
      <c r="J10" s="52">
        <v>152</v>
      </c>
      <c r="K10" s="52"/>
      <c r="L10" s="52"/>
      <c r="M10" s="52"/>
      <c r="N10" s="52">
        <f>SUM(B10:M10)</f>
        <v>993</v>
      </c>
    </row>
    <row r="11" spans="1:14" ht="16.2" x14ac:dyDescent="0.25">
      <c r="A11" s="50" t="s">
        <v>135</v>
      </c>
      <c r="B11" s="52">
        <v>23</v>
      </c>
      <c r="C11" s="52">
        <v>50</v>
      </c>
      <c r="D11" s="52">
        <v>83</v>
      </c>
      <c r="E11" s="52">
        <v>73</v>
      </c>
      <c r="F11" s="52">
        <v>114</v>
      </c>
      <c r="G11" s="58"/>
      <c r="H11" s="52"/>
      <c r="I11" s="52"/>
      <c r="J11" s="52"/>
      <c r="K11" s="52">
        <v>59</v>
      </c>
      <c r="L11" s="52">
        <v>33</v>
      </c>
      <c r="M11" s="52">
        <v>30</v>
      </c>
      <c r="N11" s="52">
        <f t="shared" ref="N11:N52" si="1">SUM(B11:M11)</f>
        <v>465</v>
      </c>
    </row>
    <row r="12" spans="1:14" ht="16.2" x14ac:dyDescent="0.25">
      <c r="A12" s="50" t="s">
        <v>60</v>
      </c>
      <c r="B12" s="52">
        <v>2000</v>
      </c>
      <c r="C12" s="52">
        <v>1250</v>
      </c>
      <c r="D12" s="52">
        <v>1850</v>
      </c>
      <c r="E12" s="52">
        <v>1575</v>
      </c>
      <c r="F12" s="52">
        <v>2825</v>
      </c>
      <c r="G12" s="58">
        <v>2575</v>
      </c>
      <c r="H12" s="52">
        <v>2650</v>
      </c>
      <c r="I12" s="52">
        <v>2600</v>
      </c>
      <c r="J12" s="52">
        <v>1850</v>
      </c>
      <c r="K12" s="52">
        <v>1750</v>
      </c>
      <c r="L12" s="52">
        <v>1900</v>
      </c>
      <c r="M12" s="52">
        <v>1350</v>
      </c>
      <c r="N12" s="52">
        <f t="shared" si="1"/>
        <v>24175</v>
      </c>
    </row>
    <row r="13" spans="1:14" ht="16.2" x14ac:dyDescent="0.25">
      <c r="A13" s="50" t="s">
        <v>111</v>
      </c>
      <c r="B13" s="52"/>
      <c r="C13" s="52"/>
      <c r="D13" s="52"/>
      <c r="E13" s="52"/>
      <c r="F13" s="52">
        <v>1019</v>
      </c>
      <c r="G13" s="58">
        <v>2508</v>
      </c>
      <c r="H13" s="52">
        <v>4199</v>
      </c>
      <c r="I13" s="52">
        <v>4296</v>
      </c>
      <c r="J13" s="52">
        <v>2390</v>
      </c>
      <c r="K13" s="52"/>
      <c r="L13" s="52"/>
      <c r="M13" s="52"/>
      <c r="N13" s="52">
        <f t="shared" si="1"/>
        <v>14412</v>
      </c>
    </row>
    <row r="14" spans="1:14" ht="16.2" x14ac:dyDescent="0.25">
      <c r="A14" s="50" t="s">
        <v>136</v>
      </c>
      <c r="B14" s="52">
        <v>1497</v>
      </c>
      <c r="C14" s="52">
        <v>1628</v>
      </c>
      <c r="D14" s="52">
        <v>1986</v>
      </c>
      <c r="E14" s="52">
        <v>1920</v>
      </c>
      <c r="F14" s="52">
        <v>1538</v>
      </c>
      <c r="G14" s="58"/>
      <c r="H14" s="52"/>
      <c r="I14" s="52"/>
      <c r="J14" s="52"/>
      <c r="K14" s="52">
        <v>1783</v>
      </c>
      <c r="L14" s="52">
        <v>2033</v>
      </c>
      <c r="M14" s="52">
        <v>1917</v>
      </c>
      <c r="N14" s="52">
        <f t="shared" si="1"/>
        <v>14302</v>
      </c>
    </row>
    <row r="15" spans="1:14" ht="16.2" x14ac:dyDescent="0.25">
      <c r="A15" s="50" t="s">
        <v>127</v>
      </c>
      <c r="B15" s="52"/>
      <c r="C15" s="52"/>
      <c r="D15" s="52"/>
      <c r="E15" s="52"/>
      <c r="F15" s="52">
        <v>1134</v>
      </c>
      <c r="G15" s="58">
        <v>2759</v>
      </c>
      <c r="H15" s="52">
        <v>3721</v>
      </c>
      <c r="I15" s="52">
        <v>3871</v>
      </c>
      <c r="J15" s="52">
        <v>2533</v>
      </c>
      <c r="K15" s="52"/>
      <c r="L15" s="52"/>
      <c r="M15" s="52"/>
      <c r="N15" s="52">
        <f t="shared" si="1"/>
        <v>14018</v>
      </c>
    </row>
    <row r="16" spans="1:14" ht="16.2" x14ac:dyDescent="0.25">
      <c r="A16" s="50" t="s">
        <v>137</v>
      </c>
      <c r="B16" s="52">
        <v>2011</v>
      </c>
      <c r="C16" s="52">
        <v>2140</v>
      </c>
      <c r="D16" s="52">
        <v>2591</v>
      </c>
      <c r="E16" s="52">
        <v>2609</v>
      </c>
      <c r="F16" s="52">
        <v>1847</v>
      </c>
      <c r="G16" s="58"/>
      <c r="H16" s="52"/>
      <c r="I16" s="52"/>
      <c r="J16" s="52"/>
      <c r="K16" s="52">
        <v>2367</v>
      </c>
      <c r="L16" s="52">
        <v>2280</v>
      </c>
      <c r="M16" s="52">
        <v>2344</v>
      </c>
      <c r="N16" s="52">
        <f t="shared" si="1"/>
        <v>18189</v>
      </c>
    </row>
    <row r="17" spans="1:14" ht="16.2" x14ac:dyDescent="0.25">
      <c r="A17" s="50" t="s">
        <v>8</v>
      </c>
      <c r="B17" s="52"/>
      <c r="C17" s="52"/>
      <c r="D17" s="52"/>
      <c r="E17" s="52"/>
      <c r="F17" s="52"/>
      <c r="G17" s="58"/>
      <c r="H17" s="52"/>
      <c r="I17" s="52">
        <v>3</v>
      </c>
      <c r="J17" s="52">
        <v>9</v>
      </c>
      <c r="K17" s="52">
        <v>9</v>
      </c>
      <c r="L17" s="52">
        <v>3</v>
      </c>
      <c r="M17" s="52"/>
      <c r="N17" s="52">
        <f t="shared" si="1"/>
        <v>24</v>
      </c>
    </row>
    <row r="18" spans="1:14" ht="16.2" x14ac:dyDescent="0.25">
      <c r="A18" s="50" t="s">
        <v>62</v>
      </c>
      <c r="B18" s="52">
        <v>2</v>
      </c>
      <c r="C18" s="52"/>
      <c r="D18" s="52"/>
      <c r="E18" s="52"/>
      <c r="F18" s="52"/>
      <c r="G18" s="58"/>
      <c r="H18" s="52">
        <v>3</v>
      </c>
      <c r="I18" s="52"/>
      <c r="J18" s="52">
        <v>1</v>
      </c>
      <c r="K18" s="52">
        <v>3</v>
      </c>
      <c r="L18" s="52"/>
      <c r="M18" s="52">
        <v>3</v>
      </c>
      <c r="N18" s="52">
        <f t="shared" si="1"/>
        <v>12</v>
      </c>
    </row>
    <row r="19" spans="1:14" ht="16.2" x14ac:dyDescent="0.25">
      <c r="A19" s="50" t="s">
        <v>138</v>
      </c>
      <c r="B19" s="52"/>
      <c r="C19" s="52"/>
      <c r="D19" s="52"/>
      <c r="E19" s="52"/>
      <c r="F19" s="52">
        <v>10</v>
      </c>
      <c r="G19" s="58">
        <v>63</v>
      </c>
      <c r="H19" s="52">
        <v>82</v>
      </c>
      <c r="I19" s="52">
        <v>76</v>
      </c>
      <c r="J19" s="52">
        <v>60</v>
      </c>
      <c r="K19" s="52"/>
      <c r="L19" s="52"/>
      <c r="M19" s="52"/>
      <c r="N19" s="52">
        <f t="shared" si="1"/>
        <v>291</v>
      </c>
    </row>
    <row r="20" spans="1:14" ht="16.2" x14ac:dyDescent="0.25">
      <c r="A20" s="50" t="s">
        <v>139</v>
      </c>
      <c r="B20" s="52">
        <v>10</v>
      </c>
      <c r="C20" s="52">
        <v>6</v>
      </c>
      <c r="D20" s="52">
        <v>12</v>
      </c>
      <c r="E20" s="52">
        <v>31</v>
      </c>
      <c r="F20" s="52">
        <v>30</v>
      </c>
      <c r="G20" s="58"/>
      <c r="H20" s="52"/>
      <c r="I20" s="52"/>
      <c r="J20" s="52"/>
      <c r="K20" s="52">
        <v>30</v>
      </c>
      <c r="L20" s="52">
        <v>10</v>
      </c>
      <c r="M20" s="52">
        <v>9</v>
      </c>
      <c r="N20" s="52">
        <f t="shared" si="1"/>
        <v>138</v>
      </c>
    </row>
    <row r="21" spans="1:14" ht="16.2" x14ac:dyDescent="0.25">
      <c r="A21" s="50" t="s">
        <v>11</v>
      </c>
      <c r="B21" s="52">
        <v>19</v>
      </c>
      <c r="C21" s="52">
        <v>18</v>
      </c>
      <c r="D21" s="52">
        <v>20</v>
      </c>
      <c r="E21" s="52">
        <v>17</v>
      </c>
      <c r="F21" s="52">
        <v>21</v>
      </c>
      <c r="G21" s="58">
        <v>13</v>
      </c>
      <c r="H21" s="52"/>
      <c r="I21" s="52"/>
      <c r="J21" s="52">
        <v>19</v>
      </c>
      <c r="K21" s="52">
        <v>22</v>
      </c>
      <c r="L21" s="52">
        <v>18</v>
      </c>
      <c r="M21" s="52">
        <v>15</v>
      </c>
      <c r="N21" s="52">
        <f>SUM(B21:M21)</f>
        <v>182</v>
      </c>
    </row>
    <row r="22" spans="1:14" ht="16.2" x14ac:dyDescent="0.25">
      <c r="A22" s="50" t="s">
        <v>12</v>
      </c>
      <c r="B22" s="52"/>
      <c r="C22" s="52"/>
      <c r="D22" s="52">
        <v>20</v>
      </c>
      <c r="E22" s="52">
        <v>68</v>
      </c>
      <c r="F22" s="52">
        <v>3</v>
      </c>
      <c r="G22" s="58">
        <v>5</v>
      </c>
      <c r="H22" s="65"/>
      <c r="I22" s="52">
        <v>8</v>
      </c>
      <c r="J22" s="52">
        <v>6</v>
      </c>
      <c r="K22" s="52">
        <v>11</v>
      </c>
      <c r="L22" s="52">
        <v>7</v>
      </c>
      <c r="M22" s="52"/>
      <c r="N22" s="52">
        <f t="shared" si="1"/>
        <v>128</v>
      </c>
    </row>
    <row r="23" spans="1:14" ht="16.2" x14ac:dyDescent="0.25">
      <c r="A23" s="50" t="s">
        <v>145</v>
      </c>
      <c r="B23" s="52"/>
      <c r="C23" s="52"/>
      <c r="D23" s="52"/>
      <c r="E23" s="52"/>
      <c r="F23" s="52">
        <v>307</v>
      </c>
      <c r="G23" s="58">
        <v>752</v>
      </c>
      <c r="H23" s="52">
        <v>904</v>
      </c>
      <c r="I23" s="52">
        <v>942</v>
      </c>
      <c r="J23" s="52">
        <v>674</v>
      </c>
      <c r="K23" s="52"/>
      <c r="L23" s="52"/>
      <c r="M23" s="52"/>
      <c r="N23" s="52">
        <f>SUM(B23:M23)</f>
        <v>3579</v>
      </c>
    </row>
    <row r="24" spans="1:14" ht="16.2" x14ac:dyDescent="0.25">
      <c r="A24" s="50" t="s">
        <v>146</v>
      </c>
      <c r="B24" s="52">
        <v>517</v>
      </c>
      <c r="C24" s="52">
        <v>530</v>
      </c>
      <c r="D24" s="52">
        <v>660</v>
      </c>
      <c r="E24" s="52">
        <v>755</v>
      </c>
      <c r="F24" s="52">
        <v>555</v>
      </c>
      <c r="G24" s="58"/>
      <c r="H24" s="52"/>
      <c r="I24" s="52"/>
      <c r="J24" s="52"/>
      <c r="K24" s="52">
        <v>670</v>
      </c>
      <c r="L24" s="52">
        <v>714</v>
      </c>
      <c r="M24" s="52">
        <v>754</v>
      </c>
      <c r="N24" s="52">
        <f>SUM(B24:M24)</f>
        <v>5155</v>
      </c>
    </row>
    <row r="25" spans="1:14" ht="16.2" x14ac:dyDescent="0.25">
      <c r="A25" s="50" t="s">
        <v>184</v>
      </c>
      <c r="B25" s="52"/>
      <c r="C25" s="52"/>
      <c r="D25" s="52"/>
      <c r="E25" s="52"/>
      <c r="F25" s="52">
        <v>608</v>
      </c>
      <c r="G25" s="58">
        <v>1437</v>
      </c>
      <c r="H25" s="52">
        <v>2645</v>
      </c>
      <c r="I25" s="52">
        <v>2650</v>
      </c>
      <c r="J25" s="52">
        <v>1071</v>
      </c>
      <c r="K25" s="52"/>
      <c r="L25" s="52"/>
      <c r="M25" s="52"/>
      <c r="N25" s="52">
        <f>SUM(B25:M25)</f>
        <v>8411</v>
      </c>
    </row>
    <row r="26" spans="1:14" ht="16.2" x14ac:dyDescent="0.25">
      <c r="A26" s="50" t="s">
        <v>183</v>
      </c>
      <c r="B26" s="52">
        <v>587</v>
      </c>
      <c r="C26" s="52">
        <v>662</v>
      </c>
      <c r="D26" s="52">
        <v>852</v>
      </c>
      <c r="E26" s="52">
        <v>1006</v>
      </c>
      <c r="F26" s="52">
        <v>694</v>
      </c>
      <c r="G26" s="58"/>
      <c r="H26" s="52"/>
      <c r="I26" s="52"/>
      <c r="J26" s="52"/>
      <c r="K26" s="52">
        <v>783</v>
      </c>
      <c r="L26" s="52">
        <v>874</v>
      </c>
      <c r="M26" s="52">
        <v>770</v>
      </c>
      <c r="N26" s="52">
        <f>SUM(B26:M26)</f>
        <v>6228</v>
      </c>
    </row>
    <row r="27" spans="1:14" ht="16.2" x14ac:dyDescent="0.25">
      <c r="A27" s="50" t="s">
        <v>140</v>
      </c>
      <c r="B27" s="52"/>
      <c r="C27" s="52"/>
      <c r="D27" s="52"/>
      <c r="E27" s="52"/>
      <c r="F27" s="52"/>
      <c r="G27" s="58">
        <v>6</v>
      </c>
      <c r="H27" s="52">
        <v>3</v>
      </c>
      <c r="I27" s="52">
        <v>4</v>
      </c>
      <c r="J27" s="52">
        <v>5</v>
      </c>
      <c r="K27" s="52"/>
      <c r="L27" s="52"/>
      <c r="M27" s="52"/>
      <c r="N27" s="52">
        <f t="shared" si="1"/>
        <v>18</v>
      </c>
    </row>
    <row r="28" spans="1:14" ht="16.2" x14ac:dyDescent="0.25">
      <c r="A28" s="50" t="s">
        <v>141</v>
      </c>
      <c r="B28" s="52"/>
      <c r="C28" s="52">
        <v>1</v>
      </c>
      <c r="D28" s="52">
        <v>3</v>
      </c>
      <c r="E28" s="52"/>
      <c r="F28" s="52"/>
      <c r="G28" s="58"/>
      <c r="H28" s="52"/>
      <c r="I28" s="52"/>
      <c r="J28" s="52"/>
      <c r="K28" s="52">
        <v>3</v>
      </c>
      <c r="L28" s="52"/>
      <c r="M28" s="52"/>
      <c r="N28" s="52">
        <f t="shared" si="1"/>
        <v>7</v>
      </c>
    </row>
    <row r="29" spans="1:14" ht="16.2" x14ac:dyDescent="0.25">
      <c r="A29" s="50" t="s">
        <v>91</v>
      </c>
      <c r="B29" s="52"/>
      <c r="C29" s="52"/>
      <c r="D29" s="52"/>
      <c r="E29" s="52"/>
      <c r="F29" s="52"/>
      <c r="G29" s="58"/>
      <c r="H29" s="52"/>
      <c r="I29" s="52"/>
      <c r="J29" s="52"/>
      <c r="K29" s="52"/>
      <c r="L29" s="52"/>
      <c r="M29" s="52"/>
      <c r="N29" s="52">
        <f>SUM(B29:M29)</f>
        <v>0</v>
      </c>
    </row>
    <row r="30" spans="1:14" ht="16.2" x14ac:dyDescent="0.25">
      <c r="A30" s="50" t="s">
        <v>15</v>
      </c>
      <c r="B30" s="52">
        <v>1350</v>
      </c>
      <c r="C30" s="52">
        <v>1375</v>
      </c>
      <c r="D30" s="52">
        <v>1450</v>
      </c>
      <c r="E30" s="52">
        <v>1675</v>
      </c>
      <c r="F30" s="52">
        <v>2400</v>
      </c>
      <c r="G30" s="58">
        <v>2175</v>
      </c>
      <c r="H30" s="52">
        <v>2275</v>
      </c>
      <c r="I30" s="52">
        <v>2300</v>
      </c>
      <c r="J30" s="52">
        <v>1925</v>
      </c>
      <c r="K30" s="52">
        <v>1725</v>
      </c>
      <c r="L30" s="52">
        <v>1200</v>
      </c>
      <c r="M30" s="52">
        <v>1450</v>
      </c>
      <c r="N30" s="52">
        <f>SUM(B30:M30)</f>
        <v>21300</v>
      </c>
    </row>
    <row r="31" spans="1:14" ht="16.2" x14ac:dyDescent="0.25">
      <c r="A31" s="50" t="s">
        <v>116</v>
      </c>
      <c r="B31" s="52"/>
      <c r="C31" s="52"/>
      <c r="D31" s="52"/>
      <c r="E31" s="52"/>
      <c r="F31" s="52">
        <v>11</v>
      </c>
      <c r="G31" s="58">
        <v>74</v>
      </c>
      <c r="H31" s="52">
        <v>140</v>
      </c>
      <c r="I31" s="52">
        <v>93</v>
      </c>
      <c r="J31" s="52">
        <v>32</v>
      </c>
      <c r="K31" s="52"/>
      <c r="L31" s="52"/>
      <c r="M31" s="52"/>
      <c r="N31" s="52">
        <f>SUM(B31:M31)</f>
        <v>350</v>
      </c>
    </row>
    <row r="32" spans="1:14" ht="16.2" x14ac:dyDescent="0.25">
      <c r="A32" s="50" t="s">
        <v>142</v>
      </c>
      <c r="B32" s="52">
        <v>12</v>
      </c>
      <c r="C32" s="52">
        <v>13</v>
      </c>
      <c r="D32" s="52">
        <v>16</v>
      </c>
      <c r="E32" s="52">
        <v>30</v>
      </c>
      <c r="F32" s="52">
        <v>39</v>
      </c>
      <c r="G32" s="58"/>
      <c r="H32" s="52"/>
      <c r="I32" s="52"/>
      <c r="J32" s="52"/>
      <c r="K32" s="52">
        <v>18</v>
      </c>
      <c r="L32" s="52">
        <v>10</v>
      </c>
      <c r="M32" s="52">
        <v>4</v>
      </c>
      <c r="N32" s="52">
        <f>SUM(B32:M32)</f>
        <v>142</v>
      </c>
    </row>
    <row r="33" spans="1:14" ht="16.2" x14ac:dyDescent="0.25">
      <c r="A33" s="50" t="s">
        <v>118</v>
      </c>
      <c r="B33" s="52"/>
      <c r="C33" s="52"/>
      <c r="D33" s="52"/>
      <c r="E33" s="52"/>
      <c r="F33" s="52">
        <v>121</v>
      </c>
      <c r="G33" s="58">
        <v>293</v>
      </c>
      <c r="H33" s="52">
        <v>260</v>
      </c>
      <c r="I33" s="52">
        <v>269</v>
      </c>
      <c r="J33" s="52">
        <v>278</v>
      </c>
      <c r="K33" s="52"/>
      <c r="L33" s="52"/>
      <c r="M33" s="52"/>
      <c r="N33" s="52">
        <f t="shared" si="1"/>
        <v>1221</v>
      </c>
    </row>
    <row r="34" spans="1:14" ht="16.2" x14ac:dyDescent="0.25">
      <c r="A34" s="50" t="s">
        <v>147</v>
      </c>
      <c r="B34" s="52">
        <v>202</v>
      </c>
      <c r="C34" s="52">
        <v>209</v>
      </c>
      <c r="D34" s="52">
        <v>291</v>
      </c>
      <c r="E34" s="52">
        <v>257</v>
      </c>
      <c r="F34" s="52">
        <v>163</v>
      </c>
      <c r="G34" s="58"/>
      <c r="H34" s="52"/>
      <c r="I34" s="52"/>
      <c r="J34" s="52"/>
      <c r="K34" s="52">
        <v>281</v>
      </c>
      <c r="L34" s="52">
        <v>201</v>
      </c>
      <c r="M34" s="52">
        <v>180</v>
      </c>
      <c r="N34" s="52">
        <f t="shared" si="1"/>
        <v>1784</v>
      </c>
    </row>
    <row r="35" spans="1:14" ht="16.2" x14ac:dyDescent="0.25">
      <c r="A35" s="50" t="s">
        <v>119</v>
      </c>
      <c r="B35" s="52"/>
      <c r="C35" s="52"/>
      <c r="D35" s="52"/>
      <c r="E35" s="52"/>
      <c r="F35" s="52">
        <v>27</v>
      </c>
      <c r="G35" s="58">
        <v>63</v>
      </c>
      <c r="H35" s="52">
        <v>90</v>
      </c>
      <c r="I35" s="52">
        <v>100</v>
      </c>
      <c r="J35" s="52">
        <v>117</v>
      </c>
      <c r="K35" s="52"/>
      <c r="L35" s="52"/>
      <c r="M35" s="52"/>
      <c r="N35" s="52">
        <f t="shared" si="1"/>
        <v>397</v>
      </c>
    </row>
    <row r="36" spans="1:14" ht="16.2" x14ac:dyDescent="0.25">
      <c r="A36" s="50" t="s">
        <v>148</v>
      </c>
      <c r="B36" s="52">
        <v>59</v>
      </c>
      <c r="C36" s="52">
        <v>44</v>
      </c>
      <c r="D36" s="52">
        <v>97</v>
      </c>
      <c r="E36" s="52">
        <v>107</v>
      </c>
      <c r="F36" s="52">
        <v>52</v>
      </c>
      <c r="G36" s="58"/>
      <c r="H36" s="52"/>
      <c r="I36" s="52"/>
      <c r="J36" s="52"/>
      <c r="K36" s="52">
        <v>89</v>
      </c>
      <c r="L36" s="52">
        <v>118</v>
      </c>
      <c r="M36" s="52">
        <v>54</v>
      </c>
      <c r="N36" s="52">
        <f t="shared" si="1"/>
        <v>620</v>
      </c>
    </row>
    <row r="37" spans="1:14" ht="16.2" x14ac:dyDescent="0.25">
      <c r="A37" s="50" t="s">
        <v>120</v>
      </c>
      <c r="B37" s="52"/>
      <c r="C37" s="52"/>
      <c r="D37" s="52"/>
      <c r="E37" s="52"/>
      <c r="F37" s="52">
        <v>28</v>
      </c>
      <c r="G37" s="58">
        <v>75</v>
      </c>
      <c r="H37" s="52">
        <v>82</v>
      </c>
      <c r="I37" s="52">
        <v>89</v>
      </c>
      <c r="J37" s="52">
        <v>56</v>
      </c>
      <c r="K37" s="52"/>
      <c r="L37" s="52"/>
      <c r="M37" s="52"/>
      <c r="N37" s="52">
        <f t="shared" si="1"/>
        <v>330</v>
      </c>
    </row>
    <row r="38" spans="1:14" ht="16.2" x14ac:dyDescent="0.25">
      <c r="A38" s="50" t="s">
        <v>149</v>
      </c>
      <c r="B38" s="52">
        <v>43</v>
      </c>
      <c r="C38" s="52">
        <v>42</v>
      </c>
      <c r="D38" s="52">
        <v>50</v>
      </c>
      <c r="E38" s="52">
        <v>63</v>
      </c>
      <c r="F38" s="52">
        <v>57</v>
      </c>
      <c r="G38" s="58"/>
      <c r="H38" s="52"/>
      <c r="I38" s="52"/>
      <c r="J38" s="52"/>
      <c r="K38" s="52">
        <v>75</v>
      </c>
      <c r="L38" s="52">
        <v>47</v>
      </c>
      <c r="M38" s="52">
        <v>29</v>
      </c>
      <c r="N38" s="52">
        <f t="shared" si="1"/>
        <v>406</v>
      </c>
    </row>
    <row r="39" spans="1:14" ht="16.2" x14ac:dyDescent="0.25">
      <c r="A39" s="50" t="s">
        <v>121</v>
      </c>
      <c r="B39" s="52"/>
      <c r="C39" s="52"/>
      <c r="D39" s="52"/>
      <c r="E39" s="52"/>
      <c r="F39" s="52">
        <v>22</v>
      </c>
      <c r="G39" s="58">
        <v>41</v>
      </c>
      <c r="H39" s="52">
        <v>84</v>
      </c>
      <c r="I39" s="52">
        <v>75</v>
      </c>
      <c r="J39" s="52">
        <v>45</v>
      </c>
      <c r="K39" s="52"/>
      <c r="L39" s="52"/>
      <c r="M39" s="52"/>
      <c r="N39" s="52">
        <f t="shared" si="1"/>
        <v>267</v>
      </c>
    </row>
    <row r="40" spans="1:14" ht="16.2" x14ac:dyDescent="0.25">
      <c r="A40" s="50" t="s">
        <v>150</v>
      </c>
      <c r="B40" s="52">
        <v>28</v>
      </c>
      <c r="C40" s="52">
        <v>30</v>
      </c>
      <c r="D40" s="52">
        <v>45</v>
      </c>
      <c r="E40" s="52">
        <v>44</v>
      </c>
      <c r="F40" s="52">
        <v>25</v>
      </c>
      <c r="G40" s="58"/>
      <c r="H40" s="52"/>
      <c r="I40" s="52"/>
      <c r="J40" s="52"/>
      <c r="K40" s="52">
        <v>53</v>
      </c>
      <c r="L40" s="52">
        <v>26</v>
      </c>
      <c r="M40" s="52">
        <v>16</v>
      </c>
      <c r="N40" s="52">
        <f t="shared" si="1"/>
        <v>267</v>
      </c>
    </row>
    <row r="41" spans="1:14" ht="16.2" x14ac:dyDescent="0.25">
      <c r="A41" s="50" t="s">
        <v>122</v>
      </c>
      <c r="B41" s="52"/>
      <c r="C41" s="52"/>
      <c r="D41" s="52"/>
      <c r="E41" s="52"/>
      <c r="F41" s="52">
        <v>10</v>
      </c>
      <c r="G41" s="58">
        <v>13</v>
      </c>
      <c r="H41" s="52">
        <v>27</v>
      </c>
      <c r="I41" s="52">
        <v>42</v>
      </c>
      <c r="J41" s="52">
        <v>29</v>
      </c>
      <c r="K41" s="52"/>
      <c r="L41" s="52"/>
      <c r="M41" s="52"/>
      <c r="N41" s="52">
        <f t="shared" si="1"/>
        <v>121</v>
      </c>
    </row>
    <row r="42" spans="1:14" ht="16.2" x14ac:dyDescent="0.25">
      <c r="A42" s="50" t="s">
        <v>151</v>
      </c>
      <c r="B42" s="52">
        <v>14</v>
      </c>
      <c r="C42" s="52">
        <v>10</v>
      </c>
      <c r="D42" s="52">
        <v>15</v>
      </c>
      <c r="E42" s="52">
        <v>19</v>
      </c>
      <c r="F42" s="52">
        <v>13</v>
      </c>
      <c r="G42" s="58"/>
      <c r="H42" s="52"/>
      <c r="I42" s="52"/>
      <c r="J42" s="52"/>
      <c r="K42" s="52">
        <v>23</v>
      </c>
      <c r="L42" s="52">
        <v>17</v>
      </c>
      <c r="M42" s="52">
        <v>13</v>
      </c>
      <c r="N42" s="52">
        <f t="shared" si="1"/>
        <v>124</v>
      </c>
    </row>
    <row r="43" spans="1:14" ht="16.2" x14ac:dyDescent="0.25">
      <c r="A43" s="50" t="s">
        <v>123</v>
      </c>
      <c r="B43" s="52"/>
      <c r="C43" s="52"/>
      <c r="D43" s="52"/>
      <c r="E43" s="52"/>
      <c r="F43" s="52">
        <v>2</v>
      </c>
      <c r="G43" s="58">
        <v>5</v>
      </c>
      <c r="H43" s="52">
        <v>16</v>
      </c>
      <c r="I43" s="52">
        <v>13</v>
      </c>
      <c r="J43" s="52">
        <v>11</v>
      </c>
      <c r="K43" s="52"/>
      <c r="L43" s="52"/>
      <c r="M43" s="52"/>
      <c r="N43" s="52">
        <f t="shared" si="1"/>
        <v>47</v>
      </c>
    </row>
    <row r="44" spans="1:14" ht="16.2" x14ac:dyDescent="0.25">
      <c r="A44" s="50" t="s">
        <v>152</v>
      </c>
      <c r="B44" s="52">
        <v>1</v>
      </c>
      <c r="C44" s="52">
        <v>7</v>
      </c>
      <c r="D44" s="52">
        <v>4</v>
      </c>
      <c r="E44" s="52">
        <v>9</v>
      </c>
      <c r="F44" s="52">
        <v>5</v>
      </c>
      <c r="G44" s="58"/>
      <c r="H44" s="52"/>
      <c r="I44" s="52"/>
      <c r="J44" s="52"/>
      <c r="K44" s="52">
        <v>11</v>
      </c>
      <c r="L44" s="52">
        <v>5</v>
      </c>
      <c r="M44" s="52">
        <v>3</v>
      </c>
      <c r="N44" s="52">
        <f t="shared" si="1"/>
        <v>45</v>
      </c>
    </row>
    <row r="45" spans="1:14" ht="16.2" x14ac:dyDescent="0.25">
      <c r="A45" s="50" t="s">
        <v>124</v>
      </c>
      <c r="B45" s="52"/>
      <c r="C45" s="52"/>
      <c r="D45" s="52"/>
      <c r="E45" s="52"/>
      <c r="F45" s="52"/>
      <c r="G45" s="58">
        <v>2</v>
      </c>
      <c r="H45" s="52">
        <v>6</v>
      </c>
      <c r="I45" s="52">
        <v>6</v>
      </c>
      <c r="J45" s="52">
        <v>2</v>
      </c>
      <c r="K45" s="52"/>
      <c r="L45" s="52"/>
      <c r="M45" s="52"/>
      <c r="N45" s="52">
        <f t="shared" si="1"/>
        <v>16</v>
      </c>
    </row>
    <row r="46" spans="1:14" ht="16.2" x14ac:dyDescent="0.25">
      <c r="A46" s="50" t="s">
        <v>153</v>
      </c>
      <c r="B46" s="52"/>
      <c r="C46" s="52"/>
      <c r="D46" s="52">
        <v>4</v>
      </c>
      <c r="E46" s="52">
        <v>4</v>
      </c>
      <c r="F46" s="52">
        <v>1</v>
      </c>
      <c r="G46" s="58"/>
      <c r="H46" s="52"/>
      <c r="I46" s="52"/>
      <c r="J46" s="52"/>
      <c r="K46" s="52">
        <v>4</v>
      </c>
      <c r="L46" s="52">
        <v>1</v>
      </c>
      <c r="M46" s="52">
        <v>1</v>
      </c>
      <c r="N46" s="52">
        <f t="shared" si="1"/>
        <v>15</v>
      </c>
    </row>
    <row r="47" spans="1:14" ht="16.2" x14ac:dyDescent="0.25">
      <c r="A47" s="50" t="s">
        <v>125</v>
      </c>
      <c r="B47" s="52"/>
      <c r="C47" s="52"/>
      <c r="D47" s="52"/>
      <c r="E47" s="52"/>
      <c r="F47" s="52"/>
      <c r="G47" s="58"/>
      <c r="H47" s="52">
        <v>2</v>
      </c>
      <c r="I47" s="52">
        <v>2</v>
      </c>
      <c r="J47" s="52">
        <v>1</v>
      </c>
      <c r="K47" s="52"/>
      <c r="L47" s="52"/>
      <c r="M47" s="52"/>
      <c r="N47" s="52">
        <f t="shared" si="1"/>
        <v>5</v>
      </c>
    </row>
    <row r="48" spans="1:14" ht="16.2" x14ac:dyDescent="0.25">
      <c r="A48" s="50" t="s">
        <v>154</v>
      </c>
      <c r="B48" s="52">
        <v>20</v>
      </c>
      <c r="C48" s="52">
        <v>6</v>
      </c>
      <c r="D48" s="52">
        <v>3</v>
      </c>
      <c r="E48" s="52">
        <v>1</v>
      </c>
      <c r="F48" s="52"/>
      <c r="G48" s="58"/>
      <c r="H48" s="52"/>
      <c r="I48" s="52"/>
      <c r="J48" s="52"/>
      <c r="K48" s="52">
        <v>4</v>
      </c>
      <c r="L48" s="52">
        <v>2</v>
      </c>
      <c r="M48" s="52"/>
      <c r="N48" s="52">
        <f t="shared" si="1"/>
        <v>36</v>
      </c>
    </row>
    <row r="49" spans="1:14" ht="16.2" x14ac:dyDescent="0.25">
      <c r="A49" s="50" t="s">
        <v>126</v>
      </c>
      <c r="B49" s="52"/>
      <c r="C49" s="52"/>
      <c r="D49" s="52"/>
      <c r="E49" s="52"/>
      <c r="F49" s="52">
        <v>2</v>
      </c>
      <c r="G49" s="58">
        <v>6</v>
      </c>
      <c r="H49" s="52">
        <v>1</v>
      </c>
      <c r="I49" s="52">
        <v>5</v>
      </c>
      <c r="J49" s="52">
        <v>3</v>
      </c>
      <c r="K49" s="52"/>
      <c r="L49" s="52"/>
      <c r="M49" s="52"/>
      <c r="N49" s="52">
        <f t="shared" si="1"/>
        <v>17</v>
      </c>
    </row>
    <row r="50" spans="1:14" ht="16.2" x14ac:dyDescent="0.25">
      <c r="A50" s="57" t="s">
        <v>155</v>
      </c>
      <c r="B50" s="55"/>
      <c r="C50" s="52">
        <v>1</v>
      </c>
      <c r="D50" s="52">
        <v>11</v>
      </c>
      <c r="E50" s="52">
        <v>34</v>
      </c>
      <c r="F50" s="52"/>
      <c r="G50" s="58"/>
      <c r="H50" s="52"/>
      <c r="I50" s="52"/>
      <c r="J50" s="52"/>
      <c r="K50" s="52">
        <v>7</v>
      </c>
      <c r="L50" s="52">
        <v>4</v>
      </c>
      <c r="M50" s="52"/>
      <c r="N50" s="52">
        <f t="shared" si="1"/>
        <v>57</v>
      </c>
    </row>
    <row r="51" spans="1:14" ht="16.2" x14ac:dyDescent="0.25">
      <c r="A51" s="56" t="s">
        <v>77</v>
      </c>
      <c r="B51" s="58">
        <v>19</v>
      </c>
      <c r="C51" s="52">
        <v>18</v>
      </c>
      <c r="D51" s="52">
        <v>20</v>
      </c>
      <c r="E51" s="52">
        <v>17</v>
      </c>
      <c r="F51" s="52">
        <v>21</v>
      </c>
      <c r="G51" s="52">
        <v>13</v>
      </c>
      <c r="H51" s="52"/>
      <c r="I51" s="52"/>
      <c r="J51" s="52">
        <v>19</v>
      </c>
      <c r="K51" s="52">
        <v>22</v>
      </c>
      <c r="L51" s="52">
        <v>18</v>
      </c>
      <c r="M51" s="52">
        <v>15</v>
      </c>
      <c r="N51" s="58">
        <f t="shared" si="1"/>
        <v>182</v>
      </c>
    </row>
    <row r="52" spans="1:14" ht="16.2" x14ac:dyDescent="0.25">
      <c r="A52" s="59" t="s">
        <v>26</v>
      </c>
      <c r="B52" s="58">
        <v>711</v>
      </c>
      <c r="C52" s="52">
        <v>642</v>
      </c>
      <c r="D52" s="52">
        <v>711</v>
      </c>
      <c r="E52" s="52">
        <v>693</v>
      </c>
      <c r="F52" s="52">
        <v>732</v>
      </c>
      <c r="G52" s="52">
        <v>720</v>
      </c>
      <c r="H52" s="52">
        <v>758</v>
      </c>
      <c r="I52" s="52">
        <v>762</v>
      </c>
      <c r="J52" s="52">
        <v>722</v>
      </c>
      <c r="K52" s="52">
        <v>717</v>
      </c>
      <c r="L52" s="52">
        <v>691</v>
      </c>
      <c r="M52" s="52">
        <v>712</v>
      </c>
      <c r="N52" s="58">
        <f t="shared" si="1"/>
        <v>8571</v>
      </c>
    </row>
    <row r="53" spans="1:14" ht="16.2" x14ac:dyDescent="0.25">
      <c r="A53" s="56" t="s">
        <v>158</v>
      </c>
      <c r="B53">
        <f t="shared" ref="B53:N53" si="2">SUM(B4:B52)</f>
        <v>12685</v>
      </c>
      <c r="C53">
        <f t="shared" si="2"/>
        <v>12292</v>
      </c>
      <c r="D53">
        <f t="shared" si="2"/>
        <v>14294</v>
      </c>
      <c r="E53">
        <f t="shared" si="2"/>
        <v>14897</v>
      </c>
      <c r="F53">
        <f t="shared" si="2"/>
        <v>19963</v>
      </c>
      <c r="G53">
        <f t="shared" si="2"/>
        <v>18423</v>
      </c>
      <c r="H53">
        <f t="shared" si="2"/>
        <v>22664</v>
      </c>
      <c r="I53">
        <f t="shared" si="2"/>
        <v>22619</v>
      </c>
      <c r="J53">
        <f t="shared" si="2"/>
        <v>16040</v>
      </c>
      <c r="K53">
        <f t="shared" si="2"/>
        <v>14379</v>
      </c>
      <c r="L53">
        <f t="shared" si="2"/>
        <v>13682</v>
      </c>
      <c r="M53">
        <f t="shared" si="2"/>
        <v>13359</v>
      </c>
      <c r="N53">
        <f t="shared" si="2"/>
        <v>195297</v>
      </c>
    </row>
    <row r="55" spans="1:14" ht="16.2" x14ac:dyDescent="0.25">
      <c r="A55" s="39" t="s">
        <v>86</v>
      </c>
      <c r="B55" s="40">
        <f t="shared" ref="B55:D55" si="3">+B4+B8+B5+B6</f>
        <v>3560</v>
      </c>
      <c r="C55" s="40">
        <f t="shared" si="3"/>
        <v>3610</v>
      </c>
      <c r="D55" s="40">
        <f t="shared" si="3"/>
        <v>3480</v>
      </c>
      <c r="E55" s="40">
        <f>+E4+E8+E5+E6</f>
        <v>3890</v>
      </c>
      <c r="F55" s="40">
        <f t="shared" ref="F55:N55" si="4">+F4+F8+F5+F6</f>
        <v>5450</v>
      </c>
      <c r="G55" s="40">
        <f t="shared" si="4"/>
        <v>4570</v>
      </c>
      <c r="H55" s="40">
        <f t="shared" si="4"/>
        <v>4280</v>
      </c>
      <c r="I55" s="40">
        <f t="shared" si="4"/>
        <v>4080</v>
      </c>
      <c r="J55" s="40">
        <f t="shared" si="4"/>
        <v>4010</v>
      </c>
      <c r="K55" s="40">
        <f t="shared" si="4"/>
        <v>3840</v>
      </c>
      <c r="L55" s="40">
        <f t="shared" si="4"/>
        <v>3450</v>
      </c>
      <c r="M55" s="40">
        <f t="shared" si="4"/>
        <v>3690</v>
      </c>
      <c r="N55" s="40">
        <f t="shared" si="4"/>
        <v>47910</v>
      </c>
    </row>
    <row r="56" spans="1:14" ht="16.2" x14ac:dyDescent="0.25">
      <c r="A56" s="39" t="s">
        <v>157</v>
      </c>
      <c r="B56" s="40">
        <f>+B12+B30</f>
        <v>3350</v>
      </c>
      <c r="C56" s="40">
        <f t="shared" ref="C56:M56" si="5">+C12+C30</f>
        <v>2625</v>
      </c>
      <c r="D56" s="40">
        <f t="shared" si="5"/>
        <v>3300</v>
      </c>
      <c r="E56" s="40">
        <f t="shared" si="5"/>
        <v>3250</v>
      </c>
      <c r="F56" s="40">
        <f t="shared" si="5"/>
        <v>5225</v>
      </c>
      <c r="G56" s="40">
        <f t="shared" si="5"/>
        <v>4750</v>
      </c>
      <c r="H56" s="40">
        <f t="shared" si="5"/>
        <v>4925</v>
      </c>
      <c r="I56" s="40">
        <f t="shared" si="5"/>
        <v>4900</v>
      </c>
      <c r="J56" s="40">
        <f t="shared" si="5"/>
        <v>3775</v>
      </c>
      <c r="K56" s="40">
        <f t="shared" si="5"/>
        <v>3475</v>
      </c>
      <c r="L56" s="40">
        <f t="shared" si="5"/>
        <v>3100</v>
      </c>
      <c r="M56" s="40">
        <f t="shared" si="5"/>
        <v>2800</v>
      </c>
      <c r="N56" s="40">
        <f>+N12+N30</f>
        <v>45475</v>
      </c>
    </row>
    <row r="57" spans="1:14" ht="16.2" x14ac:dyDescent="0.25">
      <c r="A57" s="33" t="s">
        <v>50</v>
      </c>
      <c r="B57" s="40">
        <f>+B4+B7+B8+B9+B15+B16+B19+B20+B23+B24+B27+B28+B33+B34+B35+B36+B37+B38+B39+B40+B41+B42+B43+B44+B45+B46+B47+B48+B49+B50</f>
        <v>4315</v>
      </c>
      <c r="C57" s="40">
        <f t="shared" ref="C57:H57" si="6">+C4+C7+C8+C9+C15+C16+C19+C20+C23+C24+C27+C28+C33+C34+C35+C36+C37+C38+C39+C40+C41+C42+C43+C44+C45+C46+C47+C48+C49+C50</f>
        <v>4686</v>
      </c>
      <c r="D57" s="40">
        <f t="shared" si="6"/>
        <v>5206</v>
      </c>
      <c r="E57" s="40">
        <f t="shared" si="6"/>
        <v>5613</v>
      </c>
      <c r="F57" s="40">
        <f t="shared" si="6"/>
        <v>6831</v>
      </c>
      <c r="G57" s="40">
        <f t="shared" si="6"/>
        <v>6258</v>
      </c>
      <c r="H57" s="40">
        <f t="shared" si="6"/>
        <v>7258</v>
      </c>
      <c r="I57" s="40">
        <f>+I4+I7+I8+I9+I15+I16+I19+I20+I23+I24+I27+I28+I33+I34+I35+I36+I37+I38+I39+I40+I41+I42+I43+I44+I45+I46+I47+I48+I49+I50+I17</f>
        <v>7477</v>
      </c>
      <c r="J57" s="40">
        <f t="shared" ref="J57:N57" si="7">+J4+J7+J8+J9+J15+J16+J19+J20+J23+J24+J27+J28+J33+J34+J35+J36+J37+J38+J39+J40+J41+J42+J43+J44+J45+J46+J47+J48+J49+J50+J17</f>
        <v>5473</v>
      </c>
      <c r="K57" s="40">
        <f t="shared" si="7"/>
        <v>5206</v>
      </c>
      <c r="L57" s="40">
        <f t="shared" si="7"/>
        <v>4858</v>
      </c>
      <c r="M57" s="40">
        <f t="shared" si="7"/>
        <v>4993</v>
      </c>
      <c r="N57" s="40">
        <f t="shared" si="7"/>
        <v>68174</v>
      </c>
    </row>
    <row r="58" spans="1:14" ht="16.2" x14ac:dyDescent="0.25">
      <c r="A58" s="33" t="s">
        <v>28</v>
      </c>
      <c r="B58" s="40">
        <f>SUM(B4:B50)-B22-B29-B21</f>
        <v>11936</v>
      </c>
      <c r="C58" s="40">
        <f t="shared" ref="C58:M58" si="8">SUM(C4:C50)-C22-C29-C21</f>
        <v>11614</v>
      </c>
      <c r="D58" s="40">
        <f t="shared" si="8"/>
        <v>13523</v>
      </c>
      <c r="E58" s="40">
        <f t="shared" si="8"/>
        <v>14102</v>
      </c>
      <c r="F58" s="40">
        <f t="shared" si="8"/>
        <v>19186</v>
      </c>
      <c r="G58" s="40">
        <f t="shared" si="8"/>
        <v>17672</v>
      </c>
      <c r="H58" s="40">
        <f t="shared" si="8"/>
        <v>21906</v>
      </c>
      <c r="I58" s="40">
        <f t="shared" si="8"/>
        <v>21849</v>
      </c>
      <c r="J58" s="40">
        <f t="shared" si="8"/>
        <v>15274</v>
      </c>
      <c r="K58" s="40">
        <f t="shared" si="8"/>
        <v>13607</v>
      </c>
      <c r="L58" s="40">
        <f t="shared" si="8"/>
        <v>12948</v>
      </c>
      <c r="M58" s="40">
        <f t="shared" si="8"/>
        <v>12617</v>
      </c>
      <c r="N58" s="40">
        <f>SUM(N4:N50)-N22-N29-N21</f>
        <v>186234</v>
      </c>
    </row>
    <row r="59" spans="1:14" ht="16.2" x14ac:dyDescent="0.25">
      <c r="A59" s="33" t="s">
        <v>46</v>
      </c>
      <c r="B59" s="40">
        <f>SUM(B4:B50)-B22-B29-B51-B52-B21</f>
        <v>11206</v>
      </c>
      <c r="C59" s="40">
        <f t="shared" ref="C59:M59" si="9">SUM(C4:C50)-C22-C29-C51-C52-C21</f>
        <v>10954</v>
      </c>
      <c r="D59" s="40">
        <f t="shared" si="9"/>
        <v>12792</v>
      </c>
      <c r="E59" s="40">
        <f t="shared" si="9"/>
        <v>13392</v>
      </c>
      <c r="F59" s="40">
        <f t="shared" si="9"/>
        <v>18433</v>
      </c>
      <c r="G59" s="40">
        <f t="shared" si="9"/>
        <v>16939</v>
      </c>
      <c r="H59" s="40">
        <f t="shared" si="9"/>
        <v>21148</v>
      </c>
      <c r="I59" s="40">
        <f t="shared" si="9"/>
        <v>21087</v>
      </c>
      <c r="J59" s="40">
        <f t="shared" si="9"/>
        <v>14533</v>
      </c>
      <c r="K59" s="40">
        <f t="shared" si="9"/>
        <v>12868</v>
      </c>
      <c r="L59" s="40">
        <f t="shared" si="9"/>
        <v>12239</v>
      </c>
      <c r="M59" s="40">
        <f t="shared" si="9"/>
        <v>11890</v>
      </c>
      <c r="N59" s="40">
        <f>SUM(N4:N50)-N22-N29-N51-N52-N21</f>
        <v>177481</v>
      </c>
    </row>
    <row r="60" spans="1:14" ht="16.2" x14ac:dyDescent="0.25">
      <c r="A60" s="33" t="s">
        <v>52</v>
      </c>
      <c r="B60" s="40">
        <f>+B10+B11+B12+B13+B14+B25+B26+B31+B32</f>
        <v>4119</v>
      </c>
      <c r="C60" s="40">
        <f t="shared" ref="C60:M60" si="10">+C10+C11+C12+C13+C14+C25+C26+C31+C32</f>
        <v>3603</v>
      </c>
      <c r="D60" s="40">
        <f t="shared" si="10"/>
        <v>4787</v>
      </c>
      <c r="E60" s="40">
        <f t="shared" si="10"/>
        <v>4604</v>
      </c>
      <c r="F60" s="40">
        <f t="shared" si="10"/>
        <v>6885</v>
      </c>
      <c r="G60" s="40">
        <f t="shared" si="10"/>
        <v>6789</v>
      </c>
      <c r="H60" s="40">
        <f t="shared" si="10"/>
        <v>9990</v>
      </c>
      <c r="I60" s="40">
        <f t="shared" si="10"/>
        <v>9892</v>
      </c>
      <c r="J60" s="40">
        <f t="shared" si="10"/>
        <v>5495</v>
      </c>
      <c r="K60" s="40">
        <f t="shared" si="10"/>
        <v>4393</v>
      </c>
      <c r="L60" s="40">
        <f t="shared" si="10"/>
        <v>4850</v>
      </c>
      <c r="M60" s="40">
        <f t="shared" si="10"/>
        <v>4071</v>
      </c>
      <c r="N60" s="40">
        <f>+N10+N11+N12+N13+N14+N25+N26+N31+N32</f>
        <v>69478</v>
      </c>
    </row>
    <row r="61" spans="1:14" ht="16.2" x14ac:dyDescent="0.25">
      <c r="A61" s="36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5" spans="1:14" ht="16.2" x14ac:dyDescent="0.25">
      <c r="A65" s="39" t="s">
        <v>179</v>
      </c>
      <c r="B65" s="40">
        <f>+B4+B7+B8+B9+B5+B6</f>
        <v>3560</v>
      </c>
      <c r="C65" s="40">
        <f t="shared" ref="C65:N65" si="11">+C4+C7+C8+C9+C5+C6</f>
        <v>3610</v>
      </c>
      <c r="D65" s="40">
        <f t="shared" si="11"/>
        <v>3500</v>
      </c>
      <c r="E65" s="40">
        <f t="shared" si="11"/>
        <v>3890</v>
      </c>
      <c r="F65" s="40">
        <f t="shared" si="11"/>
        <v>5490</v>
      </c>
      <c r="G65" s="40">
        <f t="shared" si="11"/>
        <v>4630</v>
      </c>
      <c r="H65" s="40">
        <f t="shared" si="11"/>
        <v>4360</v>
      </c>
      <c r="I65" s="40">
        <f t="shared" si="11"/>
        <v>4160</v>
      </c>
      <c r="J65" s="40">
        <f t="shared" si="11"/>
        <v>4030</v>
      </c>
      <c r="K65" s="40">
        <f t="shared" si="11"/>
        <v>3860</v>
      </c>
      <c r="L65" s="40">
        <f t="shared" si="11"/>
        <v>3470</v>
      </c>
      <c r="M65" s="40">
        <f t="shared" si="11"/>
        <v>3690</v>
      </c>
      <c r="N65" s="40">
        <f t="shared" si="11"/>
        <v>48250</v>
      </c>
    </row>
    <row r="66" spans="1:14" ht="16.2" x14ac:dyDescent="0.25">
      <c r="A66" s="39" t="s">
        <v>177</v>
      </c>
      <c r="B66" s="40">
        <f>+B15+B16+B23+B24</f>
        <v>2528</v>
      </c>
      <c r="C66" s="40">
        <f t="shared" ref="C66:N66" si="12">+C15+C16+C23+C24</f>
        <v>2670</v>
      </c>
      <c r="D66" s="40">
        <f t="shared" si="12"/>
        <v>3251</v>
      </c>
      <c r="E66" s="40">
        <f t="shared" si="12"/>
        <v>3364</v>
      </c>
      <c r="F66" s="40">
        <f t="shared" si="12"/>
        <v>3843</v>
      </c>
      <c r="G66" s="40">
        <f t="shared" si="12"/>
        <v>3511</v>
      </c>
      <c r="H66" s="40">
        <f t="shared" si="12"/>
        <v>4625</v>
      </c>
      <c r="I66" s="40">
        <f t="shared" si="12"/>
        <v>4813</v>
      </c>
      <c r="J66" s="40">
        <f t="shared" si="12"/>
        <v>3207</v>
      </c>
      <c r="K66" s="40">
        <f t="shared" si="12"/>
        <v>3037</v>
      </c>
      <c r="L66" s="40">
        <f t="shared" si="12"/>
        <v>2994</v>
      </c>
      <c r="M66" s="40">
        <f t="shared" si="12"/>
        <v>3098</v>
      </c>
      <c r="N66" s="40">
        <f t="shared" si="12"/>
        <v>40941</v>
      </c>
    </row>
    <row r="67" spans="1:14" ht="16.2" x14ac:dyDescent="0.25">
      <c r="A67" s="33" t="s">
        <v>178</v>
      </c>
      <c r="B67" s="40">
        <f>+B19+B20+B27+B28</f>
        <v>10</v>
      </c>
      <c r="C67" s="40">
        <f t="shared" ref="C67:N67" si="13">+C19+C20+C27+C28</f>
        <v>7</v>
      </c>
      <c r="D67" s="40">
        <f t="shared" si="13"/>
        <v>15</v>
      </c>
      <c r="E67" s="40">
        <f t="shared" si="13"/>
        <v>31</v>
      </c>
      <c r="F67" s="40">
        <f t="shared" si="13"/>
        <v>40</v>
      </c>
      <c r="G67" s="40">
        <f t="shared" si="13"/>
        <v>69</v>
      </c>
      <c r="H67" s="40">
        <f t="shared" si="13"/>
        <v>85</v>
      </c>
      <c r="I67" s="40">
        <f t="shared" si="13"/>
        <v>80</v>
      </c>
      <c r="J67" s="40">
        <f t="shared" si="13"/>
        <v>65</v>
      </c>
      <c r="K67" s="40">
        <f t="shared" si="13"/>
        <v>33</v>
      </c>
      <c r="L67" s="40">
        <f t="shared" si="13"/>
        <v>10</v>
      </c>
      <c r="M67" s="40">
        <f t="shared" si="13"/>
        <v>9</v>
      </c>
      <c r="N67" s="40">
        <f t="shared" si="13"/>
        <v>454</v>
      </c>
    </row>
    <row r="68" spans="1:14" ht="16.2" x14ac:dyDescent="0.25">
      <c r="A68" s="33" t="s">
        <v>180</v>
      </c>
      <c r="B68" s="40">
        <f>+B33+B34+B35+B36+B37+B38+B39+B40+B41+B42+B43+B44+B45+B46+B47+B48+B49+B50</f>
        <v>367</v>
      </c>
      <c r="C68" s="40">
        <f t="shared" ref="C68:H68" si="14">+C33+C34+C35+C36+C37+C38+C39+C40+C41+C42+C43+C44+C45+C46+C47+C48+C49+C50</f>
        <v>349</v>
      </c>
      <c r="D68" s="40">
        <f t="shared" si="14"/>
        <v>520</v>
      </c>
      <c r="E68" s="40">
        <f t="shared" si="14"/>
        <v>538</v>
      </c>
      <c r="F68" s="40">
        <f t="shared" si="14"/>
        <v>528</v>
      </c>
      <c r="G68" s="40">
        <f t="shared" si="14"/>
        <v>498</v>
      </c>
      <c r="H68" s="40">
        <f t="shared" si="14"/>
        <v>568</v>
      </c>
      <c r="I68" s="40">
        <f>+I33+I34+I35+I36+I37+I38+I39+I40+I41+I42+I43+I44+I45+I46+I47+I48+I49+I50+I17</f>
        <v>604</v>
      </c>
      <c r="J68" s="40">
        <f t="shared" ref="J68:N68" si="15">+J33+J34+J35+J36+J37+J38+J39+J40+J41+J42+J43+J44+J45+J46+J47+J48+J49+J50+J17</f>
        <v>551</v>
      </c>
      <c r="K68" s="40">
        <f t="shared" si="15"/>
        <v>556</v>
      </c>
      <c r="L68" s="40">
        <f t="shared" si="15"/>
        <v>424</v>
      </c>
      <c r="M68" s="40">
        <f t="shared" si="15"/>
        <v>296</v>
      </c>
      <c r="N68" s="40">
        <f t="shared" si="15"/>
        <v>5799</v>
      </c>
    </row>
    <row r="69" spans="1:14" ht="16.2" x14ac:dyDescent="0.25">
      <c r="A69" s="33" t="s">
        <v>157</v>
      </c>
      <c r="B69" s="40">
        <f>+B12+B30</f>
        <v>3350</v>
      </c>
      <c r="C69" s="40">
        <f t="shared" ref="C69:N69" si="16">+C12+C30</f>
        <v>2625</v>
      </c>
      <c r="D69" s="40">
        <f t="shared" si="16"/>
        <v>3300</v>
      </c>
      <c r="E69" s="40">
        <f t="shared" si="16"/>
        <v>3250</v>
      </c>
      <c r="F69" s="40">
        <f t="shared" si="16"/>
        <v>5225</v>
      </c>
      <c r="G69" s="40">
        <f t="shared" si="16"/>
        <v>4750</v>
      </c>
      <c r="H69" s="40">
        <f t="shared" si="16"/>
        <v>4925</v>
      </c>
      <c r="I69" s="40">
        <f t="shared" si="16"/>
        <v>4900</v>
      </c>
      <c r="J69" s="40">
        <f t="shared" si="16"/>
        <v>3775</v>
      </c>
      <c r="K69" s="40">
        <f t="shared" si="16"/>
        <v>3475</v>
      </c>
      <c r="L69" s="40">
        <f t="shared" si="16"/>
        <v>3100</v>
      </c>
      <c r="M69" s="40">
        <f t="shared" si="16"/>
        <v>2800</v>
      </c>
      <c r="N69" s="40">
        <f t="shared" si="16"/>
        <v>45475</v>
      </c>
    </row>
    <row r="70" spans="1:14" ht="16.2" x14ac:dyDescent="0.25">
      <c r="A70" s="33" t="s">
        <v>181</v>
      </c>
      <c r="B70" s="40">
        <f>+B13+B14+B25+B26</f>
        <v>2084</v>
      </c>
      <c r="C70" s="40">
        <f t="shared" ref="C70:N70" si="17">+C13+C14+C25+C26</f>
        <v>2290</v>
      </c>
      <c r="D70" s="40">
        <f t="shared" si="17"/>
        <v>2838</v>
      </c>
      <c r="E70" s="40">
        <f t="shared" si="17"/>
        <v>2926</v>
      </c>
      <c r="F70" s="40">
        <f t="shared" si="17"/>
        <v>3859</v>
      </c>
      <c r="G70" s="40">
        <f t="shared" si="17"/>
        <v>3945</v>
      </c>
      <c r="H70" s="40">
        <f t="shared" si="17"/>
        <v>6844</v>
      </c>
      <c r="I70" s="40">
        <f t="shared" si="17"/>
        <v>6946</v>
      </c>
      <c r="J70" s="40">
        <f t="shared" si="17"/>
        <v>3461</v>
      </c>
      <c r="K70" s="40">
        <f t="shared" si="17"/>
        <v>2566</v>
      </c>
      <c r="L70" s="40">
        <f t="shared" si="17"/>
        <v>2907</v>
      </c>
      <c r="M70" s="40">
        <f t="shared" si="17"/>
        <v>2687</v>
      </c>
      <c r="N70" s="40">
        <f t="shared" si="17"/>
        <v>43353</v>
      </c>
    </row>
    <row r="71" spans="1:14" ht="16.2" x14ac:dyDescent="0.25">
      <c r="A71" s="33" t="s">
        <v>182</v>
      </c>
      <c r="B71" s="40">
        <f>+B10+B11+B31+B32</f>
        <v>35</v>
      </c>
      <c r="C71" s="40">
        <f t="shared" ref="C71:N71" si="18">+C10+C11+C31+C32</f>
        <v>63</v>
      </c>
      <c r="D71" s="40">
        <f t="shared" si="18"/>
        <v>99</v>
      </c>
      <c r="E71" s="40">
        <f t="shared" si="18"/>
        <v>103</v>
      </c>
      <c r="F71" s="40">
        <f t="shared" si="18"/>
        <v>201</v>
      </c>
      <c r="G71" s="40">
        <f t="shared" si="18"/>
        <v>269</v>
      </c>
      <c r="H71" s="40">
        <f t="shared" si="18"/>
        <v>496</v>
      </c>
      <c r="I71" s="40">
        <f t="shared" si="18"/>
        <v>346</v>
      </c>
      <c r="J71" s="40">
        <f t="shared" si="18"/>
        <v>184</v>
      </c>
      <c r="K71" s="40">
        <f t="shared" si="18"/>
        <v>77</v>
      </c>
      <c r="L71" s="40">
        <f t="shared" si="18"/>
        <v>43</v>
      </c>
      <c r="M71" s="40">
        <f t="shared" si="18"/>
        <v>34</v>
      </c>
      <c r="N71" s="40">
        <f t="shared" si="18"/>
        <v>1950</v>
      </c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70"/>
  <sheetViews>
    <sheetView zoomScale="75" workbookViewId="0">
      <pane xSplit="1" ySplit="3" topLeftCell="B41" activePane="bottomRight" state="frozen"/>
      <selection pane="topRight" activeCell="B1" sqref="B1"/>
      <selection pane="bottomLeft" activeCell="A4" sqref="A4"/>
      <selection pane="bottomRight" activeCell="B58" sqref="B58"/>
    </sheetView>
  </sheetViews>
  <sheetFormatPr defaultRowHeight="15" x14ac:dyDescent="0.25"/>
  <cols>
    <col min="1" max="1" width="27" customWidth="1"/>
  </cols>
  <sheetData>
    <row r="1" spans="1:14" ht="18.600000000000001" x14ac:dyDescent="0.25">
      <c r="A1" s="48" t="s">
        <v>189</v>
      </c>
    </row>
    <row r="2" spans="1:14" x14ac:dyDescent="0.25">
      <c r="A2" s="49"/>
    </row>
    <row r="3" spans="1:14" ht="16.8" x14ac:dyDescent="0.25">
      <c r="A3" s="49"/>
      <c r="B3" s="47" t="s">
        <v>29</v>
      </c>
      <c r="C3" s="34" t="s">
        <v>30</v>
      </c>
      <c r="D3" s="34" t="s">
        <v>31</v>
      </c>
      <c r="E3" s="34" t="s">
        <v>32</v>
      </c>
      <c r="F3" s="34" t="s">
        <v>33</v>
      </c>
      <c r="G3" s="34" t="s">
        <v>34</v>
      </c>
      <c r="H3" s="34" t="s">
        <v>35</v>
      </c>
      <c r="I3" s="34" t="s">
        <v>36</v>
      </c>
      <c r="J3" s="34" t="s">
        <v>37</v>
      </c>
      <c r="K3" s="34" t="s">
        <v>38</v>
      </c>
      <c r="L3" s="34" t="s">
        <v>39</v>
      </c>
      <c r="M3" s="34" t="s">
        <v>40</v>
      </c>
      <c r="N3" s="35" t="s">
        <v>41</v>
      </c>
    </row>
    <row r="4" spans="1:14" ht="16.2" x14ac:dyDescent="0.25">
      <c r="A4" s="50" t="s">
        <v>190</v>
      </c>
      <c r="B4" s="52"/>
      <c r="C4" s="52"/>
      <c r="D4" s="52"/>
      <c r="E4" s="52"/>
      <c r="F4" s="52">
        <v>20</v>
      </c>
      <c r="G4" s="58">
        <v>90</v>
      </c>
      <c r="H4" s="52">
        <v>60</v>
      </c>
      <c r="I4" s="52">
        <v>40</v>
      </c>
      <c r="J4" s="52">
        <v>10</v>
      </c>
      <c r="K4" s="52">
        <v>20</v>
      </c>
      <c r="L4" s="52">
        <v>30</v>
      </c>
      <c r="M4" s="52">
        <v>80</v>
      </c>
      <c r="N4" s="52">
        <f>SUM(B4:M4)</f>
        <v>350</v>
      </c>
    </row>
    <row r="5" spans="1:14" ht="16.2" x14ac:dyDescent="0.25">
      <c r="A5" s="50" t="s">
        <v>191</v>
      </c>
      <c r="B5" s="52"/>
      <c r="C5" s="52"/>
      <c r="D5" s="52"/>
      <c r="E5" s="52"/>
      <c r="F5" s="52">
        <v>100</v>
      </c>
      <c r="G5" s="58">
        <v>80</v>
      </c>
      <c r="H5" s="52">
        <v>70</v>
      </c>
      <c r="I5" s="52">
        <v>40</v>
      </c>
      <c r="J5" s="52"/>
      <c r="K5" s="52">
        <v>60</v>
      </c>
      <c r="L5" s="52">
        <v>70</v>
      </c>
      <c r="M5" s="52">
        <v>20</v>
      </c>
      <c r="N5" s="52">
        <f t="shared" ref="N5:N6" si="0">SUM(B5:M5)</f>
        <v>440</v>
      </c>
    </row>
    <row r="6" spans="1:14" ht="16.2" x14ac:dyDescent="0.25">
      <c r="A6" s="50" t="s">
        <v>186</v>
      </c>
      <c r="B6" s="52">
        <v>1840</v>
      </c>
      <c r="C6" s="52">
        <v>1660</v>
      </c>
      <c r="D6" s="52">
        <v>2160</v>
      </c>
      <c r="E6" s="52">
        <v>2260</v>
      </c>
      <c r="F6" s="52">
        <v>2900</v>
      </c>
      <c r="G6" s="58">
        <v>2220</v>
      </c>
      <c r="H6" s="52">
        <v>1980</v>
      </c>
      <c r="I6" s="52">
        <v>2320</v>
      </c>
      <c r="J6" s="52">
        <v>1740</v>
      </c>
      <c r="K6" s="52">
        <v>860</v>
      </c>
      <c r="L6" s="52">
        <v>2120</v>
      </c>
      <c r="M6" s="52">
        <v>1760</v>
      </c>
      <c r="N6" s="52">
        <f t="shared" si="0"/>
        <v>23820</v>
      </c>
    </row>
    <row r="7" spans="1:14" ht="16.2" x14ac:dyDescent="0.25">
      <c r="A7" s="50" t="s">
        <v>59</v>
      </c>
      <c r="B7" s="52"/>
      <c r="C7" s="52"/>
      <c r="D7" s="52"/>
      <c r="E7" s="52">
        <v>60</v>
      </c>
      <c r="F7" s="52">
        <v>60</v>
      </c>
      <c r="G7" s="58">
        <v>40</v>
      </c>
      <c r="H7" s="52">
        <v>80</v>
      </c>
      <c r="I7" s="52">
        <v>40</v>
      </c>
      <c r="J7" s="52"/>
      <c r="K7" s="52"/>
      <c r="L7" s="52"/>
      <c r="M7" s="52"/>
      <c r="N7" s="52">
        <f>SUM(B7:M7)</f>
        <v>280</v>
      </c>
    </row>
    <row r="8" spans="1:14" ht="16.2" x14ac:dyDescent="0.25">
      <c r="A8" s="50" t="s">
        <v>187</v>
      </c>
      <c r="B8" s="52">
        <v>1160</v>
      </c>
      <c r="C8" s="52">
        <v>1020</v>
      </c>
      <c r="D8" s="52">
        <v>1300</v>
      </c>
      <c r="E8" s="52">
        <v>1540</v>
      </c>
      <c r="F8" s="52">
        <v>2400</v>
      </c>
      <c r="G8" s="58">
        <v>1740</v>
      </c>
      <c r="H8" s="52">
        <v>1640</v>
      </c>
      <c r="I8" s="52">
        <v>1980</v>
      </c>
      <c r="J8" s="52">
        <v>1340</v>
      </c>
      <c r="K8" s="52">
        <v>520</v>
      </c>
      <c r="L8" s="52">
        <v>1320</v>
      </c>
      <c r="M8" s="52">
        <v>1420</v>
      </c>
      <c r="N8" s="52">
        <f>SUM(B8:M8)</f>
        <v>17380</v>
      </c>
    </row>
    <row r="9" spans="1:14" ht="16.2" x14ac:dyDescent="0.25">
      <c r="A9" s="50" t="s">
        <v>188</v>
      </c>
      <c r="B9" s="52"/>
      <c r="C9" s="52"/>
      <c r="D9" s="52"/>
      <c r="E9" s="52"/>
      <c r="F9" s="52">
        <v>20</v>
      </c>
      <c r="G9" s="58">
        <v>20</v>
      </c>
      <c r="H9" s="52"/>
      <c r="I9" s="52"/>
      <c r="J9" s="52">
        <v>20</v>
      </c>
      <c r="K9" s="52"/>
      <c r="L9" s="52"/>
      <c r="M9" s="52"/>
      <c r="N9" s="52">
        <f>SUM(B9:M9)</f>
        <v>60</v>
      </c>
    </row>
    <row r="10" spans="1:14" ht="16.2" x14ac:dyDescent="0.25">
      <c r="A10" s="50" t="s">
        <v>134</v>
      </c>
      <c r="B10" s="52"/>
      <c r="C10" s="52"/>
      <c r="D10" s="52"/>
      <c r="E10" s="52"/>
      <c r="F10" s="52">
        <v>75</v>
      </c>
      <c r="G10" s="58">
        <v>138</v>
      </c>
      <c r="H10" s="52">
        <v>289</v>
      </c>
      <c r="I10" s="52">
        <v>345</v>
      </c>
      <c r="J10" s="52">
        <v>332</v>
      </c>
      <c r="K10" s="52"/>
      <c r="L10" s="52"/>
      <c r="M10" s="52"/>
      <c r="N10" s="52">
        <f>SUM(B10:M10)</f>
        <v>1179</v>
      </c>
    </row>
    <row r="11" spans="1:14" ht="16.2" x14ac:dyDescent="0.25">
      <c r="A11" s="50" t="s">
        <v>135</v>
      </c>
      <c r="B11" s="52">
        <v>32</v>
      </c>
      <c r="C11" s="52">
        <v>70</v>
      </c>
      <c r="D11" s="52">
        <v>44</v>
      </c>
      <c r="E11" s="52">
        <v>132</v>
      </c>
      <c r="F11" s="52">
        <v>117</v>
      </c>
      <c r="G11" s="58"/>
      <c r="H11" s="52"/>
      <c r="I11" s="52"/>
      <c r="J11" s="52"/>
      <c r="K11" s="52">
        <v>106</v>
      </c>
      <c r="L11" s="52">
        <v>41</v>
      </c>
      <c r="M11" s="52">
        <v>30</v>
      </c>
      <c r="N11" s="52">
        <f t="shared" ref="N11:N51" si="1">SUM(B11:M11)</f>
        <v>572</v>
      </c>
    </row>
    <row r="12" spans="1:14" ht="16.2" x14ac:dyDescent="0.25">
      <c r="A12" s="50" t="s">
        <v>60</v>
      </c>
      <c r="B12" s="52">
        <v>2350</v>
      </c>
      <c r="C12" s="52">
        <v>1575</v>
      </c>
      <c r="D12" s="52">
        <v>1875</v>
      </c>
      <c r="E12" s="52">
        <v>2400</v>
      </c>
      <c r="F12" s="52">
        <v>2800</v>
      </c>
      <c r="G12" s="58">
        <v>2675</v>
      </c>
      <c r="H12" s="52">
        <v>2675</v>
      </c>
      <c r="I12" s="52">
        <v>2975</v>
      </c>
      <c r="J12" s="52">
        <v>2425</v>
      </c>
      <c r="K12" s="52">
        <v>2950</v>
      </c>
      <c r="L12" s="52">
        <v>1975</v>
      </c>
      <c r="M12" s="52">
        <v>1525</v>
      </c>
      <c r="N12" s="52">
        <f t="shared" si="1"/>
        <v>28200</v>
      </c>
    </row>
    <row r="13" spans="1:14" ht="16.2" x14ac:dyDescent="0.25">
      <c r="A13" s="50" t="s">
        <v>111</v>
      </c>
      <c r="B13" s="52"/>
      <c r="C13" s="52"/>
      <c r="D13" s="52"/>
      <c r="E13" s="52"/>
      <c r="F13" s="52">
        <v>1087</v>
      </c>
      <c r="G13" s="58">
        <v>2768</v>
      </c>
      <c r="H13" s="52">
        <v>4212</v>
      </c>
      <c r="I13" s="52">
        <v>4082</v>
      </c>
      <c r="J13" s="52">
        <v>3234</v>
      </c>
      <c r="K13" s="52"/>
      <c r="L13" s="52"/>
      <c r="M13" s="52"/>
      <c r="N13" s="52">
        <f t="shared" si="1"/>
        <v>15383</v>
      </c>
    </row>
    <row r="14" spans="1:14" ht="16.2" x14ac:dyDescent="0.25">
      <c r="A14" s="50" t="s">
        <v>136</v>
      </c>
      <c r="B14" s="52">
        <v>1445</v>
      </c>
      <c r="C14" s="52">
        <v>1689</v>
      </c>
      <c r="D14" s="52">
        <v>2044</v>
      </c>
      <c r="E14" s="52">
        <v>2369</v>
      </c>
      <c r="F14" s="52">
        <v>1523</v>
      </c>
      <c r="G14" s="58"/>
      <c r="H14" s="52"/>
      <c r="I14" s="52"/>
      <c r="J14" s="52"/>
      <c r="K14" s="52">
        <v>2571</v>
      </c>
      <c r="L14" s="52">
        <v>1985</v>
      </c>
      <c r="M14" s="52">
        <v>2014</v>
      </c>
      <c r="N14" s="52">
        <f t="shared" si="1"/>
        <v>15640</v>
      </c>
    </row>
    <row r="15" spans="1:14" ht="16.2" x14ac:dyDescent="0.25">
      <c r="A15" s="50" t="s">
        <v>127</v>
      </c>
      <c r="B15" s="52"/>
      <c r="C15" s="52"/>
      <c r="D15" s="52"/>
      <c r="E15" s="52"/>
      <c r="F15" s="52">
        <v>1120</v>
      </c>
      <c r="G15" s="58">
        <v>2863</v>
      </c>
      <c r="H15" s="52">
        <v>3867</v>
      </c>
      <c r="I15" s="52">
        <v>3726</v>
      </c>
      <c r="J15" s="52">
        <v>3219</v>
      </c>
      <c r="K15" s="52"/>
      <c r="L15" s="52"/>
      <c r="M15" s="52"/>
      <c r="N15" s="52">
        <f t="shared" si="1"/>
        <v>14795</v>
      </c>
    </row>
    <row r="16" spans="1:14" ht="16.2" x14ac:dyDescent="0.25">
      <c r="A16" s="50" t="s">
        <v>137</v>
      </c>
      <c r="B16" s="52">
        <v>2116</v>
      </c>
      <c r="C16" s="52">
        <v>2351</v>
      </c>
      <c r="D16" s="52">
        <v>2667</v>
      </c>
      <c r="E16" s="52">
        <v>2828</v>
      </c>
      <c r="F16" s="52">
        <v>1842</v>
      </c>
      <c r="G16" s="58"/>
      <c r="H16" s="52"/>
      <c r="I16" s="52"/>
      <c r="J16" s="52"/>
      <c r="K16" s="52">
        <v>1289</v>
      </c>
      <c r="L16" s="52">
        <v>2426</v>
      </c>
      <c r="M16" s="52">
        <v>2430</v>
      </c>
      <c r="N16" s="52">
        <f t="shared" si="1"/>
        <v>17949</v>
      </c>
    </row>
    <row r="17" spans="1:14" ht="16.2" x14ac:dyDescent="0.25">
      <c r="A17" s="50" t="s">
        <v>62</v>
      </c>
      <c r="B17" s="52">
        <v>1</v>
      </c>
      <c r="C17" s="52"/>
      <c r="D17" s="52">
        <v>2</v>
      </c>
      <c r="E17" s="52">
        <v>3</v>
      </c>
      <c r="F17" s="52">
        <v>1</v>
      </c>
      <c r="G17" s="58">
        <v>3</v>
      </c>
      <c r="H17" s="52">
        <v>1</v>
      </c>
      <c r="I17" s="52">
        <v>2</v>
      </c>
      <c r="J17" s="52">
        <v>2</v>
      </c>
      <c r="K17" s="52"/>
      <c r="L17" s="52">
        <v>2</v>
      </c>
      <c r="M17" s="52"/>
      <c r="N17" s="52">
        <f t="shared" si="1"/>
        <v>17</v>
      </c>
    </row>
    <row r="18" spans="1:14" ht="16.2" x14ac:dyDescent="0.25">
      <c r="A18" s="50" t="s">
        <v>138</v>
      </c>
      <c r="B18" s="52"/>
      <c r="C18" s="52"/>
      <c r="D18" s="52"/>
      <c r="E18" s="52"/>
      <c r="F18" s="52">
        <v>12</v>
      </c>
      <c r="G18" s="58">
        <v>29</v>
      </c>
      <c r="H18" s="52">
        <v>71</v>
      </c>
      <c r="I18" s="52">
        <v>74</v>
      </c>
      <c r="J18" s="52">
        <v>78</v>
      </c>
      <c r="K18" s="52"/>
      <c r="L18" s="52"/>
      <c r="M18" s="52"/>
      <c r="N18" s="52">
        <f t="shared" si="1"/>
        <v>264</v>
      </c>
    </row>
    <row r="19" spans="1:14" ht="16.2" x14ac:dyDescent="0.25">
      <c r="A19" s="50" t="s">
        <v>139</v>
      </c>
      <c r="B19" s="52">
        <v>4</v>
      </c>
      <c r="C19" s="52">
        <v>18</v>
      </c>
      <c r="D19" s="52">
        <v>17</v>
      </c>
      <c r="E19" s="52">
        <v>37</v>
      </c>
      <c r="F19" s="52">
        <v>35</v>
      </c>
      <c r="G19" s="58"/>
      <c r="H19" s="52"/>
      <c r="I19" s="52"/>
      <c r="J19" s="52"/>
      <c r="K19" s="52">
        <v>14</v>
      </c>
      <c r="L19" s="52">
        <v>8</v>
      </c>
      <c r="M19" s="52">
        <v>3</v>
      </c>
      <c r="N19" s="52">
        <f t="shared" si="1"/>
        <v>136</v>
      </c>
    </row>
    <row r="20" spans="1:14" ht="16.2" x14ac:dyDescent="0.25">
      <c r="A20" s="50" t="s">
        <v>11</v>
      </c>
      <c r="B20" s="52">
        <v>16</v>
      </c>
      <c r="C20" s="52">
        <v>19</v>
      </c>
      <c r="D20" s="52">
        <v>22</v>
      </c>
      <c r="E20" s="52">
        <v>16</v>
      </c>
      <c r="F20" s="52">
        <v>22</v>
      </c>
      <c r="G20" s="58">
        <v>16</v>
      </c>
      <c r="H20" s="52"/>
      <c r="I20" s="52"/>
      <c r="J20" s="52">
        <v>18</v>
      </c>
      <c r="K20" s="52">
        <v>22</v>
      </c>
      <c r="L20" s="52">
        <v>19</v>
      </c>
      <c r="M20" s="52">
        <v>13</v>
      </c>
      <c r="N20" s="52">
        <f>SUM(B20:M20)</f>
        <v>183</v>
      </c>
    </row>
    <row r="21" spans="1:14" ht="16.2" x14ac:dyDescent="0.25">
      <c r="A21" s="50" t="s">
        <v>12</v>
      </c>
      <c r="B21" s="52">
        <v>2</v>
      </c>
      <c r="C21" s="52">
        <v>7</v>
      </c>
      <c r="D21" s="52">
        <v>2</v>
      </c>
      <c r="E21" s="52">
        <v>9</v>
      </c>
      <c r="F21" s="52"/>
      <c r="G21" s="58">
        <v>4</v>
      </c>
      <c r="H21" s="65">
        <v>3</v>
      </c>
      <c r="I21" s="52">
        <v>4</v>
      </c>
      <c r="J21" s="52">
        <v>5</v>
      </c>
      <c r="K21" s="52">
        <v>1</v>
      </c>
      <c r="L21" s="52">
        <v>7</v>
      </c>
      <c r="M21" s="52">
        <v>3</v>
      </c>
      <c r="N21" s="52">
        <f t="shared" si="1"/>
        <v>47</v>
      </c>
    </row>
    <row r="22" spans="1:14" ht="16.2" x14ac:dyDescent="0.25">
      <c r="A22" s="50" t="s">
        <v>145</v>
      </c>
      <c r="B22" s="52"/>
      <c r="C22" s="52"/>
      <c r="D22" s="52"/>
      <c r="E22" s="52"/>
      <c r="F22" s="52">
        <v>242</v>
      </c>
      <c r="G22" s="58">
        <v>645</v>
      </c>
      <c r="H22" s="52">
        <v>866</v>
      </c>
      <c r="I22" s="52">
        <v>896</v>
      </c>
      <c r="J22" s="52">
        <v>794</v>
      </c>
      <c r="K22" s="52"/>
      <c r="L22" s="52"/>
      <c r="M22" s="52"/>
      <c r="N22" s="52">
        <f>SUM(B22:M22)</f>
        <v>3443</v>
      </c>
    </row>
    <row r="23" spans="1:14" ht="16.2" x14ac:dyDescent="0.25">
      <c r="A23" s="50" t="s">
        <v>146</v>
      </c>
      <c r="B23" s="52">
        <v>511</v>
      </c>
      <c r="C23" s="52">
        <v>523</v>
      </c>
      <c r="D23" s="52">
        <v>575</v>
      </c>
      <c r="E23" s="52">
        <v>689</v>
      </c>
      <c r="F23" s="52">
        <v>515</v>
      </c>
      <c r="G23" s="58"/>
      <c r="H23" s="52"/>
      <c r="I23" s="52"/>
      <c r="J23" s="52"/>
      <c r="K23" s="52">
        <v>357</v>
      </c>
      <c r="L23" s="52">
        <v>601</v>
      </c>
      <c r="M23" s="52">
        <v>594</v>
      </c>
      <c r="N23" s="52">
        <f>SUM(B23:M23)</f>
        <v>4365</v>
      </c>
    </row>
    <row r="24" spans="1:14" ht="16.2" x14ac:dyDescent="0.25">
      <c r="A24" s="50" t="s">
        <v>184</v>
      </c>
      <c r="B24" s="52"/>
      <c r="C24" s="52"/>
      <c r="D24" s="52"/>
      <c r="E24" s="52"/>
      <c r="F24" s="52">
        <v>572</v>
      </c>
      <c r="G24" s="58">
        <v>1514</v>
      </c>
      <c r="H24" s="52">
        <v>2818</v>
      </c>
      <c r="I24" s="52">
        <v>2687</v>
      </c>
      <c r="J24" s="52">
        <v>1529</v>
      </c>
      <c r="K24" s="52"/>
      <c r="L24" s="52"/>
      <c r="M24" s="52"/>
      <c r="N24" s="52">
        <f>SUM(B24:M24)</f>
        <v>9120</v>
      </c>
    </row>
    <row r="25" spans="1:14" ht="16.2" x14ac:dyDescent="0.25">
      <c r="A25" s="50" t="s">
        <v>183</v>
      </c>
      <c r="B25" s="52">
        <v>556</v>
      </c>
      <c r="C25" s="52">
        <v>784</v>
      </c>
      <c r="D25" s="52">
        <v>839</v>
      </c>
      <c r="E25" s="52">
        <v>1234</v>
      </c>
      <c r="F25" s="52">
        <v>699</v>
      </c>
      <c r="G25" s="58"/>
      <c r="H25" s="52"/>
      <c r="I25" s="52"/>
      <c r="J25" s="52"/>
      <c r="K25" s="52">
        <v>1039</v>
      </c>
      <c r="L25" s="52">
        <v>799</v>
      </c>
      <c r="M25" s="52">
        <v>834</v>
      </c>
      <c r="N25" s="52">
        <f>SUM(B25:M25)</f>
        <v>6784</v>
      </c>
    </row>
    <row r="26" spans="1:14" ht="16.2" x14ac:dyDescent="0.25">
      <c r="A26" s="50" t="s">
        <v>140</v>
      </c>
      <c r="B26" s="52"/>
      <c r="C26" s="52"/>
      <c r="D26" s="52"/>
      <c r="E26" s="52"/>
      <c r="F26" s="52"/>
      <c r="G26" s="58">
        <v>4</v>
      </c>
      <c r="H26" s="52">
        <v>6</v>
      </c>
      <c r="I26" s="52">
        <v>15</v>
      </c>
      <c r="J26" s="52">
        <v>17</v>
      </c>
      <c r="K26" s="52"/>
      <c r="L26" s="52"/>
      <c r="M26" s="52"/>
      <c r="N26" s="52">
        <f t="shared" si="1"/>
        <v>42</v>
      </c>
    </row>
    <row r="27" spans="1:14" ht="16.2" x14ac:dyDescent="0.25">
      <c r="A27" s="50" t="s">
        <v>141</v>
      </c>
      <c r="B27" s="52"/>
      <c r="C27" s="52">
        <v>1</v>
      </c>
      <c r="D27" s="52">
        <v>1</v>
      </c>
      <c r="E27" s="52">
        <v>1</v>
      </c>
      <c r="F27" s="52">
        <v>3</v>
      </c>
      <c r="G27" s="58"/>
      <c r="H27" s="52"/>
      <c r="I27" s="52"/>
      <c r="J27" s="52"/>
      <c r="K27" s="52">
        <v>2</v>
      </c>
      <c r="L27" s="52"/>
      <c r="M27" s="52"/>
      <c r="N27" s="52">
        <f t="shared" si="1"/>
        <v>8</v>
      </c>
    </row>
    <row r="28" spans="1:14" ht="16.2" x14ac:dyDescent="0.25">
      <c r="A28" s="50" t="s">
        <v>91</v>
      </c>
      <c r="B28" s="52"/>
      <c r="C28" s="52"/>
      <c r="D28" s="52"/>
      <c r="E28" s="52"/>
      <c r="F28" s="52"/>
      <c r="G28" s="58"/>
      <c r="H28" s="52"/>
      <c r="I28" s="52"/>
      <c r="J28" s="52">
        <v>1575</v>
      </c>
      <c r="K28" s="52"/>
      <c r="L28" s="52"/>
      <c r="M28" s="52"/>
      <c r="N28" s="52">
        <f>SUM(B28:M28)</f>
        <v>1575</v>
      </c>
    </row>
    <row r="29" spans="1:14" ht="16.2" x14ac:dyDescent="0.25">
      <c r="A29" s="50" t="s">
        <v>15</v>
      </c>
      <c r="B29" s="52">
        <v>1325</v>
      </c>
      <c r="C29" s="52">
        <v>925</v>
      </c>
      <c r="D29" s="52">
        <v>1250</v>
      </c>
      <c r="E29" s="52">
        <v>1700</v>
      </c>
      <c r="F29" s="52">
        <v>2125</v>
      </c>
      <c r="G29" s="58">
        <v>1975</v>
      </c>
      <c r="H29" s="52">
        <v>2125</v>
      </c>
      <c r="I29" s="52">
        <v>2225</v>
      </c>
      <c r="J29" s="52"/>
      <c r="K29" s="52">
        <v>1925</v>
      </c>
      <c r="L29" s="52">
        <v>1550</v>
      </c>
      <c r="M29" s="52">
        <v>1000</v>
      </c>
      <c r="N29" s="52">
        <f>SUM(B29:M29)</f>
        <v>18125</v>
      </c>
    </row>
    <row r="30" spans="1:14" ht="16.2" x14ac:dyDescent="0.25">
      <c r="A30" s="50" t="s">
        <v>116</v>
      </c>
      <c r="B30" s="52"/>
      <c r="C30" s="52"/>
      <c r="D30" s="52"/>
      <c r="E30" s="52"/>
      <c r="F30" s="52">
        <v>34</v>
      </c>
      <c r="G30" s="58">
        <v>61</v>
      </c>
      <c r="H30" s="52">
        <v>130</v>
      </c>
      <c r="I30" s="52">
        <v>124</v>
      </c>
      <c r="J30" s="52">
        <v>87</v>
      </c>
      <c r="K30" s="52"/>
      <c r="L30" s="52"/>
      <c r="M30" s="52"/>
      <c r="N30" s="52">
        <f>SUM(B30:M30)</f>
        <v>436</v>
      </c>
    </row>
    <row r="31" spans="1:14" ht="16.2" x14ac:dyDescent="0.25">
      <c r="A31" s="50" t="s">
        <v>142</v>
      </c>
      <c r="B31" s="52">
        <v>1</v>
      </c>
      <c r="C31" s="52">
        <v>7</v>
      </c>
      <c r="D31" s="52">
        <v>12</v>
      </c>
      <c r="E31" s="52">
        <v>20</v>
      </c>
      <c r="F31" s="52">
        <v>58</v>
      </c>
      <c r="G31" s="58"/>
      <c r="H31" s="52"/>
      <c r="I31" s="52"/>
      <c r="J31" s="52"/>
      <c r="K31" s="52">
        <v>29</v>
      </c>
      <c r="L31" s="52">
        <v>12</v>
      </c>
      <c r="M31" s="52"/>
      <c r="N31" s="52">
        <f>SUM(B31:M31)</f>
        <v>139</v>
      </c>
    </row>
    <row r="32" spans="1:14" ht="16.2" x14ac:dyDescent="0.25">
      <c r="A32" s="50" t="s">
        <v>118</v>
      </c>
      <c r="B32" s="52"/>
      <c r="C32" s="52"/>
      <c r="D32" s="52"/>
      <c r="E32" s="52"/>
      <c r="F32" s="52">
        <v>108</v>
      </c>
      <c r="G32" s="58">
        <v>254</v>
      </c>
      <c r="H32" s="52">
        <v>242</v>
      </c>
      <c r="I32" s="52">
        <v>299</v>
      </c>
      <c r="J32" s="52">
        <v>268</v>
      </c>
      <c r="K32" s="52"/>
      <c r="L32" s="52"/>
      <c r="M32" s="52"/>
      <c r="N32" s="52">
        <f t="shared" si="1"/>
        <v>1171</v>
      </c>
    </row>
    <row r="33" spans="1:14" ht="16.2" x14ac:dyDescent="0.25">
      <c r="A33" s="50" t="s">
        <v>147</v>
      </c>
      <c r="B33" s="52">
        <v>149</v>
      </c>
      <c r="C33" s="52">
        <v>184</v>
      </c>
      <c r="D33" s="52">
        <v>214</v>
      </c>
      <c r="E33" s="52">
        <v>262</v>
      </c>
      <c r="F33" s="52">
        <v>143</v>
      </c>
      <c r="G33" s="58"/>
      <c r="H33" s="52"/>
      <c r="I33" s="52"/>
      <c r="J33" s="52"/>
      <c r="K33" s="52">
        <v>145</v>
      </c>
      <c r="L33" s="52">
        <v>216</v>
      </c>
      <c r="M33" s="52">
        <v>197</v>
      </c>
      <c r="N33" s="52">
        <f t="shared" si="1"/>
        <v>1510</v>
      </c>
    </row>
    <row r="34" spans="1:14" ht="16.2" x14ac:dyDescent="0.25">
      <c r="A34" s="50" t="s">
        <v>119</v>
      </c>
      <c r="B34" s="52"/>
      <c r="C34" s="52"/>
      <c r="D34" s="52"/>
      <c r="E34" s="52"/>
      <c r="F34" s="52">
        <v>49</v>
      </c>
      <c r="G34" s="58">
        <v>83</v>
      </c>
      <c r="H34" s="52">
        <v>96</v>
      </c>
      <c r="I34" s="52">
        <v>129</v>
      </c>
      <c r="J34" s="52">
        <v>103</v>
      </c>
      <c r="K34" s="52"/>
      <c r="L34" s="52"/>
      <c r="M34" s="52"/>
      <c r="N34" s="52">
        <f t="shared" si="1"/>
        <v>460</v>
      </c>
    </row>
    <row r="35" spans="1:14" ht="16.2" x14ac:dyDescent="0.25">
      <c r="A35" s="50" t="s">
        <v>148</v>
      </c>
      <c r="B35" s="52">
        <v>38</v>
      </c>
      <c r="C35" s="52">
        <v>50</v>
      </c>
      <c r="D35" s="52">
        <v>83</v>
      </c>
      <c r="E35" s="52">
        <v>108</v>
      </c>
      <c r="F35" s="52">
        <v>74</v>
      </c>
      <c r="G35" s="58"/>
      <c r="H35" s="52"/>
      <c r="I35" s="52"/>
      <c r="J35" s="52"/>
      <c r="K35" s="52">
        <v>69</v>
      </c>
      <c r="L35" s="52">
        <v>92</v>
      </c>
      <c r="M35" s="52">
        <v>61</v>
      </c>
      <c r="N35" s="52">
        <f t="shared" si="1"/>
        <v>575</v>
      </c>
    </row>
    <row r="36" spans="1:14" ht="16.2" x14ac:dyDescent="0.25">
      <c r="A36" s="50" t="s">
        <v>120</v>
      </c>
      <c r="B36" s="52"/>
      <c r="C36" s="52"/>
      <c r="D36" s="52"/>
      <c r="E36" s="52"/>
      <c r="F36" s="52">
        <v>20</v>
      </c>
      <c r="G36" s="58">
        <v>56</v>
      </c>
      <c r="H36" s="52">
        <v>65</v>
      </c>
      <c r="I36" s="52">
        <v>85</v>
      </c>
      <c r="J36" s="52">
        <v>73</v>
      </c>
      <c r="K36" s="52"/>
      <c r="L36" s="52"/>
      <c r="M36" s="52"/>
      <c r="N36" s="52">
        <f t="shared" si="1"/>
        <v>299</v>
      </c>
    </row>
    <row r="37" spans="1:14" ht="16.2" x14ac:dyDescent="0.25">
      <c r="A37" s="50" t="s">
        <v>149</v>
      </c>
      <c r="B37" s="52">
        <v>34</v>
      </c>
      <c r="C37" s="52">
        <v>27</v>
      </c>
      <c r="D37" s="52">
        <v>43</v>
      </c>
      <c r="E37" s="52">
        <v>43</v>
      </c>
      <c r="F37" s="52">
        <v>44</v>
      </c>
      <c r="G37" s="58"/>
      <c r="H37" s="52"/>
      <c r="I37" s="52"/>
      <c r="J37" s="52"/>
      <c r="K37" s="52">
        <v>48</v>
      </c>
      <c r="L37" s="52">
        <v>78</v>
      </c>
      <c r="M37" s="52">
        <v>46</v>
      </c>
      <c r="N37" s="52">
        <f t="shared" si="1"/>
        <v>363</v>
      </c>
    </row>
    <row r="38" spans="1:14" ht="16.2" x14ac:dyDescent="0.25">
      <c r="A38" s="50" t="s">
        <v>121</v>
      </c>
      <c r="B38" s="52"/>
      <c r="C38" s="52"/>
      <c r="D38" s="52"/>
      <c r="E38" s="52"/>
      <c r="F38" s="52">
        <v>23</v>
      </c>
      <c r="G38" s="58">
        <v>53</v>
      </c>
      <c r="H38" s="52">
        <v>72</v>
      </c>
      <c r="I38" s="52">
        <v>56</v>
      </c>
      <c r="J38" s="52">
        <v>82</v>
      </c>
      <c r="K38" s="52"/>
      <c r="L38" s="52"/>
      <c r="M38" s="52"/>
      <c r="N38" s="52">
        <f t="shared" si="1"/>
        <v>286</v>
      </c>
    </row>
    <row r="39" spans="1:14" ht="16.2" x14ac:dyDescent="0.25">
      <c r="A39" s="50" t="s">
        <v>150</v>
      </c>
      <c r="B39" s="52">
        <v>18</v>
      </c>
      <c r="C39" s="52">
        <v>21</v>
      </c>
      <c r="D39" s="52">
        <v>28</v>
      </c>
      <c r="E39" s="52">
        <v>61</v>
      </c>
      <c r="F39" s="52">
        <v>27</v>
      </c>
      <c r="G39" s="58"/>
      <c r="H39" s="52"/>
      <c r="I39" s="52"/>
      <c r="J39" s="52"/>
      <c r="K39" s="52">
        <v>40</v>
      </c>
      <c r="L39" s="52">
        <v>37</v>
      </c>
      <c r="M39" s="52">
        <v>12</v>
      </c>
      <c r="N39" s="52">
        <f t="shared" si="1"/>
        <v>244</v>
      </c>
    </row>
    <row r="40" spans="1:14" ht="16.2" x14ac:dyDescent="0.25">
      <c r="A40" s="50" t="s">
        <v>122</v>
      </c>
      <c r="B40" s="52"/>
      <c r="C40" s="52"/>
      <c r="D40" s="52"/>
      <c r="E40" s="52"/>
      <c r="F40" s="52">
        <v>10</v>
      </c>
      <c r="G40" s="58">
        <v>15</v>
      </c>
      <c r="H40" s="52">
        <v>28</v>
      </c>
      <c r="I40" s="52">
        <v>32</v>
      </c>
      <c r="J40" s="52">
        <v>31</v>
      </c>
      <c r="K40" s="52"/>
      <c r="L40" s="52"/>
      <c r="M40" s="52"/>
      <c r="N40" s="52">
        <f t="shared" si="1"/>
        <v>116</v>
      </c>
    </row>
    <row r="41" spans="1:14" ht="16.2" x14ac:dyDescent="0.25">
      <c r="A41" s="50" t="s">
        <v>151</v>
      </c>
      <c r="B41" s="52">
        <v>4</v>
      </c>
      <c r="C41" s="52">
        <v>9</v>
      </c>
      <c r="D41" s="52">
        <v>22</v>
      </c>
      <c r="E41" s="52">
        <v>20</v>
      </c>
      <c r="F41" s="52">
        <v>19</v>
      </c>
      <c r="G41" s="58"/>
      <c r="H41" s="52"/>
      <c r="I41" s="52"/>
      <c r="J41" s="52"/>
      <c r="K41" s="52">
        <v>12</v>
      </c>
      <c r="L41" s="52">
        <v>18</v>
      </c>
      <c r="M41" s="52">
        <v>7</v>
      </c>
      <c r="N41" s="52">
        <f t="shared" si="1"/>
        <v>111</v>
      </c>
    </row>
    <row r="42" spans="1:14" ht="16.2" x14ac:dyDescent="0.25">
      <c r="A42" s="50" t="s">
        <v>123</v>
      </c>
      <c r="B42" s="52"/>
      <c r="C42" s="52"/>
      <c r="D42" s="52"/>
      <c r="E42" s="52"/>
      <c r="F42" s="52">
        <v>5</v>
      </c>
      <c r="G42" s="58">
        <v>5</v>
      </c>
      <c r="H42" s="52">
        <v>14</v>
      </c>
      <c r="I42" s="52">
        <v>13</v>
      </c>
      <c r="J42" s="52">
        <v>11</v>
      </c>
      <c r="K42" s="52"/>
      <c r="L42" s="52"/>
      <c r="M42" s="52"/>
      <c r="N42" s="52">
        <f t="shared" si="1"/>
        <v>48</v>
      </c>
    </row>
    <row r="43" spans="1:14" ht="16.2" x14ac:dyDescent="0.25">
      <c r="A43" s="50" t="s">
        <v>152</v>
      </c>
      <c r="B43" s="52">
        <v>1</v>
      </c>
      <c r="C43" s="52">
        <v>5</v>
      </c>
      <c r="D43" s="52">
        <v>2</v>
      </c>
      <c r="E43" s="52">
        <v>1</v>
      </c>
      <c r="F43" s="52">
        <v>3</v>
      </c>
      <c r="G43" s="58"/>
      <c r="H43" s="52"/>
      <c r="I43" s="52"/>
      <c r="J43" s="52"/>
      <c r="K43" s="52">
        <v>2</v>
      </c>
      <c r="L43" s="52">
        <v>8</v>
      </c>
      <c r="M43" s="52">
        <v>6</v>
      </c>
      <c r="N43" s="52">
        <f t="shared" si="1"/>
        <v>28</v>
      </c>
    </row>
    <row r="44" spans="1:14" ht="16.2" x14ac:dyDescent="0.25">
      <c r="A44" s="50" t="s">
        <v>124</v>
      </c>
      <c r="B44" s="52"/>
      <c r="C44" s="52"/>
      <c r="D44" s="52"/>
      <c r="E44" s="52"/>
      <c r="F44" s="52">
        <v>2</v>
      </c>
      <c r="G44" s="58">
        <v>4</v>
      </c>
      <c r="H44" s="52">
        <v>2</v>
      </c>
      <c r="I44" s="52">
        <v>4</v>
      </c>
      <c r="J44" s="52">
        <v>2</v>
      </c>
      <c r="K44" s="52"/>
      <c r="L44" s="52"/>
      <c r="M44" s="52"/>
      <c r="N44" s="52">
        <f t="shared" si="1"/>
        <v>14</v>
      </c>
    </row>
    <row r="45" spans="1:14" ht="16.2" x14ac:dyDescent="0.25">
      <c r="A45" s="50" t="s">
        <v>153</v>
      </c>
      <c r="B45" s="52">
        <v>1</v>
      </c>
      <c r="C45" s="52">
        <v>4</v>
      </c>
      <c r="D45" s="52">
        <v>2</v>
      </c>
      <c r="E45" s="52">
        <v>2</v>
      </c>
      <c r="F45" s="52">
        <v>2</v>
      </c>
      <c r="G45" s="58"/>
      <c r="H45" s="52"/>
      <c r="I45" s="52"/>
      <c r="J45" s="52"/>
      <c r="K45" s="52"/>
      <c r="L45" s="52">
        <v>3</v>
      </c>
      <c r="M45" s="52"/>
      <c r="N45" s="52">
        <f t="shared" si="1"/>
        <v>14</v>
      </c>
    </row>
    <row r="46" spans="1:14" ht="16.2" x14ac:dyDescent="0.25">
      <c r="A46" s="50" t="s">
        <v>125</v>
      </c>
      <c r="B46" s="52"/>
      <c r="C46" s="52"/>
      <c r="D46" s="52"/>
      <c r="E46" s="52"/>
      <c r="F46" s="52"/>
      <c r="G46" s="58">
        <v>3</v>
      </c>
      <c r="H46" s="52">
        <v>4</v>
      </c>
      <c r="I46" s="52">
        <v>3</v>
      </c>
      <c r="J46" s="52">
        <v>33</v>
      </c>
      <c r="K46" s="52"/>
      <c r="L46" s="52"/>
      <c r="M46" s="52"/>
      <c r="N46" s="52">
        <f t="shared" si="1"/>
        <v>43</v>
      </c>
    </row>
    <row r="47" spans="1:14" ht="16.2" x14ac:dyDescent="0.25">
      <c r="A47" s="50" t="s">
        <v>154</v>
      </c>
      <c r="B47" s="52"/>
      <c r="C47" s="52">
        <v>4</v>
      </c>
      <c r="D47" s="52">
        <v>1</v>
      </c>
      <c r="E47" s="52"/>
      <c r="F47" s="52">
        <v>1</v>
      </c>
      <c r="G47" s="58"/>
      <c r="H47" s="52"/>
      <c r="I47" s="52"/>
      <c r="J47" s="52"/>
      <c r="K47" s="52">
        <v>7</v>
      </c>
      <c r="L47" s="52"/>
      <c r="M47" s="52">
        <v>16</v>
      </c>
      <c r="N47" s="52">
        <f t="shared" si="1"/>
        <v>29</v>
      </c>
    </row>
    <row r="48" spans="1:14" ht="16.2" x14ac:dyDescent="0.25">
      <c r="A48" s="50" t="s">
        <v>126</v>
      </c>
      <c r="B48" s="52"/>
      <c r="C48" s="52"/>
      <c r="D48" s="52"/>
      <c r="E48" s="52"/>
      <c r="F48" s="52">
        <v>1</v>
      </c>
      <c r="G48" s="58">
        <v>4</v>
      </c>
      <c r="H48" s="52">
        <v>4</v>
      </c>
      <c r="I48" s="52">
        <v>5</v>
      </c>
      <c r="J48" s="52">
        <v>5</v>
      </c>
      <c r="K48" s="52"/>
      <c r="L48" s="52"/>
      <c r="M48" s="52"/>
      <c r="N48" s="52">
        <f t="shared" si="1"/>
        <v>19</v>
      </c>
    </row>
    <row r="49" spans="1:14" ht="16.2" x14ac:dyDescent="0.25">
      <c r="A49" s="57" t="s">
        <v>155</v>
      </c>
      <c r="B49" s="55">
        <v>2</v>
      </c>
      <c r="C49" s="52">
        <v>3</v>
      </c>
      <c r="D49" s="52">
        <v>2</v>
      </c>
      <c r="E49" s="52">
        <v>8</v>
      </c>
      <c r="F49" s="52">
        <v>2</v>
      </c>
      <c r="G49" s="58"/>
      <c r="H49" s="52"/>
      <c r="I49" s="52"/>
      <c r="J49" s="52"/>
      <c r="K49" s="52">
        <v>4</v>
      </c>
      <c r="L49" s="52">
        <v>5</v>
      </c>
      <c r="M49" s="52">
        <v>4</v>
      </c>
      <c r="N49" s="52">
        <f t="shared" si="1"/>
        <v>30</v>
      </c>
    </row>
    <row r="50" spans="1:14" ht="16.2" x14ac:dyDescent="0.25">
      <c r="A50" s="56" t="s">
        <v>77</v>
      </c>
      <c r="B50" s="58">
        <v>16</v>
      </c>
      <c r="C50" s="52">
        <v>19</v>
      </c>
      <c r="D50" s="52">
        <v>22</v>
      </c>
      <c r="E50" s="52">
        <v>16</v>
      </c>
      <c r="F50" s="52">
        <v>22</v>
      </c>
      <c r="G50" s="52">
        <v>16</v>
      </c>
      <c r="H50" s="52"/>
      <c r="I50" s="52"/>
      <c r="J50" s="52">
        <v>18</v>
      </c>
      <c r="K50" s="52">
        <v>22</v>
      </c>
      <c r="L50" s="52">
        <v>19</v>
      </c>
      <c r="M50" s="52">
        <v>13</v>
      </c>
      <c r="N50" s="58">
        <f t="shared" si="1"/>
        <v>183</v>
      </c>
    </row>
    <row r="51" spans="1:14" ht="16.2" x14ac:dyDescent="0.25">
      <c r="A51" s="59" t="s">
        <v>26</v>
      </c>
      <c r="B51" s="58">
        <v>706</v>
      </c>
      <c r="C51" s="52">
        <v>653</v>
      </c>
      <c r="D51" s="52">
        <v>710</v>
      </c>
      <c r="E51" s="52">
        <v>681</v>
      </c>
      <c r="F51" s="52">
        <v>746</v>
      </c>
      <c r="G51" s="52">
        <v>722</v>
      </c>
      <c r="H51" s="52">
        <v>759</v>
      </c>
      <c r="I51" s="52">
        <v>756</v>
      </c>
      <c r="J51" s="52">
        <v>733</v>
      </c>
      <c r="K51" s="52">
        <v>714</v>
      </c>
      <c r="L51" s="52">
        <v>697</v>
      </c>
      <c r="M51" s="52">
        <v>708</v>
      </c>
      <c r="N51" s="58">
        <f t="shared" si="1"/>
        <v>8585</v>
      </c>
    </row>
    <row r="52" spans="1:14" ht="16.2" x14ac:dyDescent="0.25">
      <c r="A52" s="56" t="s">
        <v>158</v>
      </c>
      <c r="B52">
        <f t="shared" ref="B52:N52" si="2">SUM(B4:B51)</f>
        <v>12328</v>
      </c>
      <c r="C52">
        <f t="shared" si="2"/>
        <v>11628</v>
      </c>
      <c r="D52">
        <f t="shared" si="2"/>
        <v>13939</v>
      </c>
      <c r="E52">
        <f t="shared" si="2"/>
        <v>16500</v>
      </c>
      <c r="F52">
        <f t="shared" si="2"/>
        <v>19683</v>
      </c>
      <c r="G52">
        <f t="shared" si="2"/>
        <v>18100</v>
      </c>
      <c r="H52">
        <f t="shared" si="2"/>
        <v>22179</v>
      </c>
      <c r="I52">
        <f t="shared" si="2"/>
        <v>22957</v>
      </c>
      <c r="J52">
        <f t="shared" si="2"/>
        <v>17784</v>
      </c>
      <c r="K52">
        <f t="shared" si="2"/>
        <v>12828</v>
      </c>
      <c r="L52">
        <f t="shared" si="2"/>
        <v>14138</v>
      </c>
      <c r="M52">
        <f t="shared" si="2"/>
        <v>12796</v>
      </c>
      <c r="N52">
        <f t="shared" si="2"/>
        <v>194860</v>
      </c>
    </row>
    <row r="54" spans="1:14" ht="16.2" x14ac:dyDescent="0.25">
      <c r="A54" s="39" t="s">
        <v>86</v>
      </c>
      <c r="B54" s="40">
        <f t="shared" ref="B54:D54" si="3">+B4+B8+B5+B6</f>
        <v>3000</v>
      </c>
      <c r="C54" s="40">
        <f t="shared" si="3"/>
        <v>2680</v>
      </c>
      <c r="D54" s="40">
        <f t="shared" si="3"/>
        <v>3460</v>
      </c>
      <c r="E54" s="40">
        <f>+E4+E8+E5+E6</f>
        <v>3800</v>
      </c>
      <c r="F54" s="40">
        <f t="shared" ref="F54:N54" si="4">+F4+F8+F5+F6</f>
        <v>5420</v>
      </c>
      <c r="G54" s="40">
        <f t="shared" si="4"/>
        <v>4130</v>
      </c>
      <c r="H54" s="40">
        <f t="shared" si="4"/>
        <v>3750</v>
      </c>
      <c r="I54" s="40">
        <f t="shared" si="4"/>
        <v>4380</v>
      </c>
      <c r="J54" s="40">
        <f t="shared" si="4"/>
        <v>3090</v>
      </c>
      <c r="K54" s="40">
        <f t="shared" si="4"/>
        <v>1460</v>
      </c>
      <c r="L54" s="40">
        <f t="shared" si="4"/>
        <v>3540</v>
      </c>
      <c r="M54" s="40">
        <f t="shared" si="4"/>
        <v>3280</v>
      </c>
      <c r="N54" s="40">
        <f t="shared" si="4"/>
        <v>41990</v>
      </c>
    </row>
    <row r="55" spans="1:14" ht="16.2" x14ac:dyDescent="0.25">
      <c r="A55" s="39" t="s">
        <v>157</v>
      </c>
      <c r="B55" s="40">
        <f>+B12+B29</f>
        <v>3675</v>
      </c>
      <c r="C55" s="40">
        <f t="shared" ref="C55:M55" si="5">+C12+C29</f>
        <v>2500</v>
      </c>
      <c r="D55" s="40">
        <f t="shared" si="5"/>
        <v>3125</v>
      </c>
      <c r="E55" s="40">
        <f t="shared" si="5"/>
        <v>4100</v>
      </c>
      <c r="F55" s="40">
        <f t="shared" si="5"/>
        <v>4925</v>
      </c>
      <c r="G55" s="40">
        <f t="shared" si="5"/>
        <v>4650</v>
      </c>
      <c r="H55" s="40">
        <f t="shared" si="5"/>
        <v>4800</v>
      </c>
      <c r="I55" s="40">
        <f t="shared" si="5"/>
        <v>5200</v>
      </c>
      <c r="J55" s="40">
        <f t="shared" si="5"/>
        <v>2425</v>
      </c>
      <c r="K55" s="40">
        <f t="shared" si="5"/>
        <v>4875</v>
      </c>
      <c r="L55" s="40">
        <f t="shared" si="5"/>
        <v>3525</v>
      </c>
      <c r="M55" s="40">
        <f t="shared" si="5"/>
        <v>2525</v>
      </c>
      <c r="N55" s="40">
        <f>+N12+N29</f>
        <v>46325</v>
      </c>
    </row>
    <row r="56" spans="1:14" ht="16.2" x14ac:dyDescent="0.25">
      <c r="A56" s="33" t="s">
        <v>50</v>
      </c>
      <c r="B56" s="40">
        <f>+B4+B7+B8+B9+B15+B16+B18+B19+B22+B23+B26+B27+B32+B33+B34+B35+B36+B37+B38+B39+B40+B41+B42+B43+B44+B45+B46+B47+B48+B49</f>
        <v>4038</v>
      </c>
      <c r="C56" s="40">
        <f t="shared" ref="C56:M56" si="6">+C4+C7+C8+C9+C15+C16+C18+C19+C22+C23+C26+C27+C32+C33+C34+C35+C36+C37+C38+C39+C40+C41+C42+C43+C44+C45+C46+C47+C48+C49</f>
        <v>4220</v>
      </c>
      <c r="D56" s="40">
        <f t="shared" si="6"/>
        <v>4957</v>
      </c>
      <c r="E56" s="40">
        <f t="shared" si="6"/>
        <v>5660</v>
      </c>
      <c r="F56" s="40">
        <f t="shared" si="6"/>
        <v>6802</v>
      </c>
      <c r="G56" s="40">
        <f t="shared" si="6"/>
        <v>5908</v>
      </c>
      <c r="H56" s="40">
        <f t="shared" si="6"/>
        <v>7117</v>
      </c>
      <c r="I56" s="40">
        <f t="shared" si="6"/>
        <v>7397</v>
      </c>
      <c r="J56" s="40">
        <f t="shared" si="6"/>
        <v>6086</v>
      </c>
      <c r="K56" s="40">
        <f t="shared" si="6"/>
        <v>2529</v>
      </c>
      <c r="L56" s="40">
        <f t="shared" si="6"/>
        <v>4842</v>
      </c>
      <c r="M56" s="40">
        <f t="shared" si="6"/>
        <v>4876</v>
      </c>
      <c r="N56" s="40">
        <f>+N4+N7+N8+N9+N15+N16+N18+N19+N22+N23+N26+N27+N32+N33+N34+N35+N36+N37+N38+N39+N40+N41+N42+N43+N44+N45+N46+N47+N48+N49</f>
        <v>64432</v>
      </c>
    </row>
    <row r="57" spans="1:14" ht="16.2" x14ac:dyDescent="0.25">
      <c r="A57" s="33" t="s">
        <v>28</v>
      </c>
      <c r="B57" s="40">
        <f>SUM(B4:B49)-B21-B28-B20</f>
        <v>11588</v>
      </c>
      <c r="C57" s="40">
        <f t="shared" ref="C57:M57" si="7">SUM(C4:C49)-C21-C28-C20</f>
        <v>10930</v>
      </c>
      <c r="D57" s="40">
        <f t="shared" si="7"/>
        <v>13183</v>
      </c>
      <c r="E57" s="40">
        <f t="shared" si="7"/>
        <v>15778</v>
      </c>
      <c r="F57" s="40">
        <f t="shared" si="7"/>
        <v>18893</v>
      </c>
      <c r="G57" s="40">
        <f t="shared" si="7"/>
        <v>17342</v>
      </c>
      <c r="H57" s="40">
        <f t="shared" si="7"/>
        <v>21417</v>
      </c>
      <c r="I57" s="40">
        <f t="shared" si="7"/>
        <v>22197</v>
      </c>
      <c r="J57" s="40">
        <f t="shared" si="7"/>
        <v>15435</v>
      </c>
      <c r="K57" s="40">
        <f t="shared" si="7"/>
        <v>12069</v>
      </c>
      <c r="L57" s="40">
        <f t="shared" si="7"/>
        <v>13396</v>
      </c>
      <c r="M57" s="40">
        <f t="shared" si="7"/>
        <v>12059</v>
      </c>
      <c r="N57" s="40">
        <f>SUM(N4:N49)-N21-N28-N20</f>
        <v>184287</v>
      </c>
    </row>
    <row r="58" spans="1:14" ht="16.2" x14ac:dyDescent="0.25">
      <c r="A58" s="33" t="s">
        <v>46</v>
      </c>
      <c r="B58" s="40">
        <f>SUM(B4:B49)-B21-B28-B50-B51-B20</f>
        <v>10866</v>
      </c>
      <c r="C58" s="40">
        <f t="shared" ref="C58:M58" si="8">SUM(C4:C49)-C21-C28-C50-C51-C20</f>
        <v>10258</v>
      </c>
      <c r="D58" s="40">
        <f t="shared" si="8"/>
        <v>12451</v>
      </c>
      <c r="E58" s="40">
        <f t="shared" si="8"/>
        <v>15081</v>
      </c>
      <c r="F58" s="40">
        <f t="shared" si="8"/>
        <v>18125</v>
      </c>
      <c r="G58" s="40">
        <f t="shared" si="8"/>
        <v>16604</v>
      </c>
      <c r="H58" s="40">
        <f t="shared" si="8"/>
        <v>20658</v>
      </c>
      <c r="I58" s="40">
        <f t="shared" si="8"/>
        <v>21441</v>
      </c>
      <c r="J58" s="40">
        <f t="shared" si="8"/>
        <v>14684</v>
      </c>
      <c r="K58" s="40">
        <f t="shared" si="8"/>
        <v>11333</v>
      </c>
      <c r="L58" s="40">
        <f t="shared" si="8"/>
        <v>12680</v>
      </c>
      <c r="M58" s="40">
        <f t="shared" si="8"/>
        <v>11338</v>
      </c>
      <c r="N58" s="40">
        <f>SUM(N4:N49)-N21-N28-N50-N51-N20</f>
        <v>175519</v>
      </c>
    </row>
    <row r="59" spans="1:14" ht="16.2" x14ac:dyDescent="0.25">
      <c r="A59" s="33" t="s">
        <v>52</v>
      </c>
      <c r="B59" s="40">
        <f>+B10+B11+B12+B13+B14+B24+B25+B30+B31</f>
        <v>4384</v>
      </c>
      <c r="C59" s="40">
        <f t="shared" ref="C59:M59" si="9">+C10+C11+C12+C13+C14+C24+C25+C30+C31</f>
        <v>4125</v>
      </c>
      <c r="D59" s="40">
        <f t="shared" si="9"/>
        <v>4814</v>
      </c>
      <c r="E59" s="40">
        <f t="shared" si="9"/>
        <v>6155</v>
      </c>
      <c r="F59" s="40">
        <f t="shared" si="9"/>
        <v>6965</v>
      </c>
      <c r="G59" s="40">
        <f t="shared" si="9"/>
        <v>7156</v>
      </c>
      <c r="H59" s="40">
        <f t="shared" si="9"/>
        <v>10124</v>
      </c>
      <c r="I59" s="40">
        <f t="shared" si="9"/>
        <v>10213</v>
      </c>
      <c r="J59" s="40">
        <f t="shared" si="9"/>
        <v>7607</v>
      </c>
      <c r="K59" s="40">
        <f t="shared" si="9"/>
        <v>6695</v>
      </c>
      <c r="L59" s="40">
        <f t="shared" si="9"/>
        <v>4812</v>
      </c>
      <c r="M59" s="40">
        <f t="shared" si="9"/>
        <v>4403</v>
      </c>
      <c r="N59" s="40">
        <f>+N10+N11+N12+N13+N14+N24+N25+N30+N31</f>
        <v>77453</v>
      </c>
    </row>
    <row r="60" spans="1:14" ht="16.2" x14ac:dyDescent="0.25">
      <c r="A60" s="36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</row>
    <row r="64" spans="1:14" ht="16.2" x14ac:dyDescent="0.25">
      <c r="A64" s="39" t="s">
        <v>179</v>
      </c>
      <c r="B64" s="40">
        <f>+B4+B7+B8+B9+B5+B6</f>
        <v>3000</v>
      </c>
      <c r="C64" s="40">
        <f t="shared" ref="C64:N64" si="10">+C4+C7+C8+C9+C5+C6</f>
        <v>2680</v>
      </c>
      <c r="D64" s="40">
        <f t="shared" si="10"/>
        <v>3460</v>
      </c>
      <c r="E64" s="40">
        <f t="shared" si="10"/>
        <v>3860</v>
      </c>
      <c r="F64" s="40">
        <f t="shared" si="10"/>
        <v>5500</v>
      </c>
      <c r="G64" s="40">
        <f t="shared" si="10"/>
        <v>4190</v>
      </c>
      <c r="H64" s="40">
        <f t="shared" si="10"/>
        <v>3830</v>
      </c>
      <c r="I64" s="40">
        <f t="shared" si="10"/>
        <v>4420</v>
      </c>
      <c r="J64" s="40">
        <f t="shared" si="10"/>
        <v>3110</v>
      </c>
      <c r="K64" s="40">
        <f t="shared" si="10"/>
        <v>1460</v>
      </c>
      <c r="L64" s="40">
        <f t="shared" si="10"/>
        <v>3540</v>
      </c>
      <c r="M64" s="40">
        <f t="shared" si="10"/>
        <v>3280</v>
      </c>
      <c r="N64" s="40">
        <f t="shared" si="10"/>
        <v>42330</v>
      </c>
    </row>
    <row r="65" spans="1:14" ht="16.2" x14ac:dyDescent="0.25">
      <c r="A65" s="39" t="s">
        <v>177</v>
      </c>
      <c r="B65" s="40">
        <f>+B15+B16+B22+B23</f>
        <v>2627</v>
      </c>
      <c r="C65" s="40">
        <f t="shared" ref="C65:N65" si="11">+C15+C16+C22+C23</f>
        <v>2874</v>
      </c>
      <c r="D65" s="40">
        <f t="shared" si="11"/>
        <v>3242</v>
      </c>
      <c r="E65" s="40">
        <f t="shared" si="11"/>
        <v>3517</v>
      </c>
      <c r="F65" s="40">
        <f t="shared" si="11"/>
        <v>3719</v>
      </c>
      <c r="G65" s="40">
        <f t="shared" si="11"/>
        <v>3508</v>
      </c>
      <c r="H65" s="40">
        <f t="shared" si="11"/>
        <v>4733</v>
      </c>
      <c r="I65" s="40">
        <f t="shared" si="11"/>
        <v>4622</v>
      </c>
      <c r="J65" s="40">
        <f t="shared" si="11"/>
        <v>4013</v>
      </c>
      <c r="K65" s="40">
        <f t="shared" si="11"/>
        <v>1646</v>
      </c>
      <c r="L65" s="40">
        <f t="shared" si="11"/>
        <v>3027</v>
      </c>
      <c r="M65" s="40">
        <f t="shared" si="11"/>
        <v>3024</v>
      </c>
      <c r="N65" s="40">
        <f t="shared" si="11"/>
        <v>40552</v>
      </c>
    </row>
    <row r="66" spans="1:14" ht="16.2" x14ac:dyDescent="0.25">
      <c r="A66" s="33" t="s">
        <v>178</v>
      </c>
      <c r="B66" s="40">
        <f>+B18+B19+B26+B27</f>
        <v>4</v>
      </c>
      <c r="C66" s="40">
        <f t="shared" ref="C66:N66" si="12">+C18+C19+C26+C27</f>
        <v>19</v>
      </c>
      <c r="D66" s="40">
        <f t="shared" si="12"/>
        <v>18</v>
      </c>
      <c r="E66" s="40">
        <f t="shared" si="12"/>
        <v>38</v>
      </c>
      <c r="F66" s="40">
        <f t="shared" si="12"/>
        <v>50</v>
      </c>
      <c r="G66" s="40">
        <f t="shared" si="12"/>
        <v>33</v>
      </c>
      <c r="H66" s="40">
        <f t="shared" si="12"/>
        <v>77</v>
      </c>
      <c r="I66" s="40">
        <f t="shared" si="12"/>
        <v>89</v>
      </c>
      <c r="J66" s="40">
        <f t="shared" si="12"/>
        <v>95</v>
      </c>
      <c r="K66" s="40">
        <f t="shared" si="12"/>
        <v>16</v>
      </c>
      <c r="L66" s="40">
        <f t="shared" si="12"/>
        <v>8</v>
      </c>
      <c r="M66" s="40">
        <f t="shared" si="12"/>
        <v>3</v>
      </c>
      <c r="N66" s="40">
        <f t="shared" si="12"/>
        <v>450</v>
      </c>
    </row>
    <row r="67" spans="1:14" ht="16.2" x14ac:dyDescent="0.25">
      <c r="A67" s="33" t="s">
        <v>180</v>
      </c>
      <c r="B67" s="40">
        <f>+B32+B33+B34+B35+B36+B37+B38+B39+B40+B41+B42+B43+B44+B45+B46+B47+B48+B49</f>
        <v>247</v>
      </c>
      <c r="C67" s="40">
        <f t="shared" ref="C67:N67" si="13">+C32+C33+C34+C35+C36+C37+C38+C39+C40+C41+C42+C43+C44+C45+C46+C47+C48+C49</f>
        <v>307</v>
      </c>
      <c r="D67" s="40">
        <f t="shared" si="13"/>
        <v>397</v>
      </c>
      <c r="E67" s="40">
        <f t="shared" si="13"/>
        <v>505</v>
      </c>
      <c r="F67" s="40">
        <f t="shared" si="13"/>
        <v>533</v>
      </c>
      <c r="G67" s="40">
        <f t="shared" si="13"/>
        <v>477</v>
      </c>
      <c r="H67" s="40">
        <f t="shared" si="13"/>
        <v>527</v>
      </c>
      <c r="I67" s="40">
        <f t="shared" si="13"/>
        <v>626</v>
      </c>
      <c r="J67" s="40">
        <f t="shared" si="13"/>
        <v>608</v>
      </c>
      <c r="K67" s="40">
        <f t="shared" si="13"/>
        <v>327</v>
      </c>
      <c r="L67" s="40">
        <f t="shared" si="13"/>
        <v>457</v>
      </c>
      <c r="M67" s="40">
        <f t="shared" si="13"/>
        <v>349</v>
      </c>
      <c r="N67" s="40">
        <f t="shared" si="13"/>
        <v>5360</v>
      </c>
    </row>
    <row r="68" spans="1:14" ht="16.2" x14ac:dyDescent="0.25">
      <c r="A68" s="33" t="s">
        <v>157</v>
      </c>
      <c r="B68" s="40">
        <f>+B12+B29</f>
        <v>3675</v>
      </c>
      <c r="C68" s="40">
        <f t="shared" ref="C68:N68" si="14">+C12+C29</f>
        <v>2500</v>
      </c>
      <c r="D68" s="40">
        <f t="shared" si="14"/>
        <v>3125</v>
      </c>
      <c r="E68" s="40">
        <f t="shared" si="14"/>
        <v>4100</v>
      </c>
      <c r="F68" s="40">
        <f t="shared" si="14"/>
        <v>4925</v>
      </c>
      <c r="G68" s="40">
        <f t="shared" si="14"/>
        <v>4650</v>
      </c>
      <c r="H68" s="40">
        <f t="shared" si="14"/>
        <v>4800</v>
      </c>
      <c r="I68" s="40">
        <f t="shared" si="14"/>
        <v>5200</v>
      </c>
      <c r="J68" s="40">
        <f t="shared" si="14"/>
        <v>2425</v>
      </c>
      <c r="K68" s="40">
        <f t="shared" si="14"/>
        <v>4875</v>
      </c>
      <c r="L68" s="40">
        <f t="shared" si="14"/>
        <v>3525</v>
      </c>
      <c r="M68" s="40">
        <f t="shared" si="14"/>
        <v>2525</v>
      </c>
      <c r="N68" s="40">
        <f t="shared" si="14"/>
        <v>46325</v>
      </c>
    </row>
    <row r="69" spans="1:14" ht="16.2" x14ac:dyDescent="0.25">
      <c r="A69" s="33" t="s">
        <v>181</v>
      </c>
      <c r="B69" s="40">
        <f>+B13+B14+B24+B25</f>
        <v>2001</v>
      </c>
      <c r="C69" s="40">
        <f t="shared" ref="C69:N69" si="15">+C13+C14+C24+C25</f>
        <v>2473</v>
      </c>
      <c r="D69" s="40">
        <f t="shared" si="15"/>
        <v>2883</v>
      </c>
      <c r="E69" s="40">
        <f t="shared" si="15"/>
        <v>3603</v>
      </c>
      <c r="F69" s="40">
        <f t="shared" si="15"/>
        <v>3881</v>
      </c>
      <c r="G69" s="40">
        <f t="shared" si="15"/>
        <v>4282</v>
      </c>
      <c r="H69" s="40">
        <f t="shared" si="15"/>
        <v>7030</v>
      </c>
      <c r="I69" s="40">
        <f t="shared" si="15"/>
        <v>6769</v>
      </c>
      <c r="J69" s="40">
        <f t="shared" si="15"/>
        <v>4763</v>
      </c>
      <c r="K69" s="40">
        <f t="shared" si="15"/>
        <v>3610</v>
      </c>
      <c r="L69" s="40">
        <f t="shared" si="15"/>
        <v>2784</v>
      </c>
      <c r="M69" s="40">
        <f t="shared" si="15"/>
        <v>2848</v>
      </c>
      <c r="N69" s="40">
        <f t="shared" si="15"/>
        <v>46927</v>
      </c>
    </row>
    <row r="70" spans="1:14" ht="16.2" x14ac:dyDescent="0.25">
      <c r="A70" s="33" t="s">
        <v>182</v>
      </c>
      <c r="B70" s="40">
        <f>+B10+B11+B30+B31</f>
        <v>33</v>
      </c>
      <c r="C70" s="40">
        <f t="shared" ref="C70:N70" si="16">+C10+C11+C30+C31</f>
        <v>77</v>
      </c>
      <c r="D70" s="40">
        <f t="shared" si="16"/>
        <v>56</v>
      </c>
      <c r="E70" s="40">
        <f t="shared" si="16"/>
        <v>152</v>
      </c>
      <c r="F70" s="40">
        <f t="shared" si="16"/>
        <v>284</v>
      </c>
      <c r="G70" s="40">
        <f t="shared" si="16"/>
        <v>199</v>
      </c>
      <c r="H70" s="40">
        <f t="shared" si="16"/>
        <v>419</v>
      </c>
      <c r="I70" s="40">
        <f t="shared" si="16"/>
        <v>469</v>
      </c>
      <c r="J70" s="40">
        <f t="shared" si="16"/>
        <v>419</v>
      </c>
      <c r="K70" s="40">
        <f t="shared" si="16"/>
        <v>135</v>
      </c>
      <c r="L70" s="40">
        <f t="shared" si="16"/>
        <v>53</v>
      </c>
      <c r="M70" s="40">
        <f t="shared" si="16"/>
        <v>30</v>
      </c>
      <c r="N70" s="40">
        <f t="shared" si="16"/>
        <v>2326</v>
      </c>
    </row>
  </sheetData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75"/>
  <sheetViews>
    <sheetView zoomScale="75" workbookViewId="0">
      <pane xSplit="1" ySplit="3" topLeftCell="B27" activePane="bottomRight" state="frozen"/>
      <selection pane="topRight" activeCell="B1" sqref="B1"/>
      <selection pane="bottomLeft" activeCell="A4" sqref="A4"/>
      <selection pane="bottomRight" activeCell="B75" sqref="B75"/>
    </sheetView>
  </sheetViews>
  <sheetFormatPr defaultRowHeight="15" x14ac:dyDescent="0.25"/>
  <cols>
    <col min="1" max="1" width="27" customWidth="1"/>
  </cols>
  <sheetData>
    <row r="1" spans="1:14" ht="18.600000000000001" x14ac:dyDescent="0.25">
      <c r="A1" s="48" t="s">
        <v>185</v>
      </c>
    </row>
    <row r="2" spans="1:14" x14ac:dyDescent="0.25">
      <c r="A2" s="49"/>
    </row>
    <row r="3" spans="1:14" ht="16.8" x14ac:dyDescent="0.25">
      <c r="A3" s="49"/>
      <c r="B3" s="47" t="s">
        <v>29</v>
      </c>
      <c r="C3" s="34" t="s">
        <v>30</v>
      </c>
      <c r="D3" s="34" t="s">
        <v>31</v>
      </c>
      <c r="E3" s="34" t="s">
        <v>32</v>
      </c>
      <c r="F3" s="34" t="s">
        <v>33</v>
      </c>
      <c r="G3" s="34" t="s">
        <v>34</v>
      </c>
      <c r="H3" s="34" t="s">
        <v>35</v>
      </c>
      <c r="I3" s="34" t="s">
        <v>36</v>
      </c>
      <c r="J3" s="34" t="s">
        <v>37</v>
      </c>
      <c r="K3" s="34" t="s">
        <v>38</v>
      </c>
      <c r="L3" s="34" t="s">
        <v>39</v>
      </c>
      <c r="M3" s="34" t="s">
        <v>40</v>
      </c>
      <c r="N3" s="35" t="s">
        <v>41</v>
      </c>
    </row>
    <row r="4" spans="1:14" ht="16.2" x14ac:dyDescent="0.25">
      <c r="A4" s="50" t="s">
        <v>128</v>
      </c>
      <c r="B4" s="52">
        <v>2350</v>
      </c>
      <c r="C4" s="52">
        <v>1820</v>
      </c>
      <c r="D4" s="52">
        <v>2740</v>
      </c>
      <c r="E4" s="52"/>
      <c r="F4" s="52">
        <v>3380</v>
      </c>
      <c r="G4" s="58"/>
      <c r="H4" s="52"/>
      <c r="I4" s="52"/>
      <c r="J4" s="52"/>
      <c r="K4" s="52"/>
      <c r="L4" s="52"/>
      <c r="M4" s="52"/>
      <c r="N4" s="52">
        <f t="shared" ref="N4:N56" si="0">SUM(B4:M4)</f>
        <v>10290</v>
      </c>
    </row>
    <row r="5" spans="1:14" ht="16.2" x14ac:dyDescent="0.25">
      <c r="A5" s="50" t="s">
        <v>186</v>
      </c>
      <c r="B5" s="52"/>
      <c r="C5" s="52"/>
      <c r="D5" s="52"/>
      <c r="E5" s="52"/>
      <c r="F5" s="52"/>
      <c r="G5" s="58">
        <v>1880</v>
      </c>
      <c r="H5" s="52">
        <v>1620</v>
      </c>
      <c r="I5" s="52">
        <v>1620</v>
      </c>
      <c r="J5" s="52">
        <v>1700</v>
      </c>
      <c r="K5" s="52">
        <v>2020</v>
      </c>
      <c r="L5" s="52">
        <v>1620</v>
      </c>
      <c r="M5" s="52">
        <v>1760</v>
      </c>
      <c r="N5" s="52">
        <f t="shared" si="0"/>
        <v>12220</v>
      </c>
    </row>
    <row r="6" spans="1:14" ht="16.2" x14ac:dyDescent="0.25">
      <c r="A6" s="50" t="s">
        <v>58</v>
      </c>
      <c r="B6" s="52">
        <v>10</v>
      </c>
      <c r="C6" s="52">
        <v>10</v>
      </c>
      <c r="D6" s="52">
        <v>20</v>
      </c>
      <c r="E6" s="52"/>
      <c r="F6" s="52">
        <v>70</v>
      </c>
      <c r="G6" s="58"/>
      <c r="H6" s="52"/>
      <c r="I6" s="52"/>
      <c r="J6" s="52"/>
      <c r="K6" s="52"/>
      <c r="L6" s="52"/>
      <c r="M6" s="52"/>
      <c r="N6" s="52">
        <f t="shared" si="0"/>
        <v>110</v>
      </c>
    </row>
    <row r="7" spans="1:14" ht="16.2" x14ac:dyDescent="0.25">
      <c r="A7" s="50" t="s">
        <v>59</v>
      </c>
      <c r="B7" s="52"/>
      <c r="C7" s="52"/>
      <c r="D7" s="52"/>
      <c r="E7" s="52"/>
      <c r="F7" s="52"/>
      <c r="G7" s="58">
        <v>40</v>
      </c>
      <c r="H7" s="52"/>
      <c r="I7" s="52">
        <v>40</v>
      </c>
      <c r="J7" s="52">
        <v>40</v>
      </c>
      <c r="K7" s="52"/>
      <c r="L7" s="52"/>
      <c r="M7" s="52"/>
      <c r="N7" s="52">
        <f t="shared" si="0"/>
        <v>120</v>
      </c>
    </row>
    <row r="8" spans="1:14" ht="16.2" x14ac:dyDescent="0.25">
      <c r="A8" s="50" t="s">
        <v>129</v>
      </c>
      <c r="B8" s="52">
        <v>1900</v>
      </c>
      <c r="C8" s="52">
        <v>1280</v>
      </c>
      <c r="D8" s="52">
        <v>2460</v>
      </c>
      <c r="E8" s="52"/>
      <c r="F8" s="52">
        <v>2300</v>
      </c>
      <c r="G8" s="58"/>
      <c r="H8" s="52"/>
      <c r="I8" s="52"/>
      <c r="J8" s="52"/>
      <c r="K8" s="52"/>
      <c r="L8" s="52"/>
      <c r="M8" s="52"/>
      <c r="N8" s="52">
        <f t="shared" si="0"/>
        <v>7940</v>
      </c>
    </row>
    <row r="9" spans="1:14" ht="16.2" x14ac:dyDescent="0.25">
      <c r="A9" s="50" t="s">
        <v>187</v>
      </c>
      <c r="B9" s="52"/>
      <c r="C9" s="52"/>
      <c r="D9" s="52"/>
      <c r="E9" s="52"/>
      <c r="F9" s="52"/>
      <c r="G9" s="58">
        <f>1240+2</f>
        <v>1242</v>
      </c>
      <c r="H9" s="52">
        <v>1320</v>
      </c>
      <c r="I9" s="52">
        <v>1220</v>
      </c>
      <c r="J9" s="52">
        <v>1260</v>
      </c>
      <c r="K9" s="52">
        <v>1100</v>
      </c>
      <c r="L9" s="52">
        <v>1220</v>
      </c>
      <c r="M9" s="52">
        <v>1320</v>
      </c>
      <c r="N9" s="52">
        <f t="shared" si="0"/>
        <v>8682</v>
      </c>
    </row>
    <row r="10" spans="1:14" ht="16.2" x14ac:dyDescent="0.25">
      <c r="A10" s="50" t="s">
        <v>130</v>
      </c>
      <c r="B10" s="52">
        <v>10</v>
      </c>
      <c r="C10" s="52">
        <v>0</v>
      </c>
      <c r="D10" s="52"/>
      <c r="E10" s="52"/>
      <c r="F10" s="52">
        <v>50</v>
      </c>
      <c r="G10" s="58"/>
      <c r="H10" s="52"/>
      <c r="I10" s="52"/>
      <c r="J10" s="52"/>
      <c r="K10" s="52"/>
      <c r="L10" s="52"/>
      <c r="M10" s="52"/>
      <c r="N10" s="52">
        <f t="shared" si="0"/>
        <v>60</v>
      </c>
    </row>
    <row r="11" spans="1:14" ht="16.2" x14ac:dyDescent="0.25">
      <c r="A11" s="50" t="s">
        <v>188</v>
      </c>
      <c r="B11" s="52"/>
      <c r="C11" s="52"/>
      <c r="D11" s="52"/>
      <c r="E11" s="52"/>
      <c r="F11" s="52"/>
      <c r="G11" s="58"/>
      <c r="H11" s="52">
        <v>20</v>
      </c>
      <c r="I11" s="52">
        <v>20</v>
      </c>
      <c r="J11" s="52"/>
      <c r="K11" s="52"/>
      <c r="L11" s="52"/>
      <c r="M11" s="52"/>
      <c r="N11" s="52">
        <f t="shared" si="0"/>
        <v>40</v>
      </c>
    </row>
    <row r="12" spans="1:14" ht="16.2" x14ac:dyDescent="0.25">
      <c r="A12" s="50" t="s">
        <v>131</v>
      </c>
      <c r="B12" s="52">
        <v>69</v>
      </c>
      <c r="C12" s="52">
        <v>69</v>
      </c>
      <c r="D12" s="52"/>
      <c r="E12" s="52"/>
      <c r="F12" s="52"/>
      <c r="G12" s="58"/>
      <c r="H12" s="52"/>
      <c r="I12" s="52"/>
      <c r="J12" s="52"/>
      <c r="K12" s="52"/>
      <c r="L12" s="52"/>
      <c r="M12" s="52"/>
      <c r="N12" s="52">
        <f t="shared" si="0"/>
        <v>138</v>
      </c>
    </row>
    <row r="13" spans="1:14" ht="16.2" x14ac:dyDescent="0.25">
      <c r="A13" s="50" t="s">
        <v>132</v>
      </c>
      <c r="B13" s="52">
        <v>230</v>
      </c>
      <c r="C13" s="52">
        <v>184</v>
      </c>
      <c r="D13" s="52">
        <v>115</v>
      </c>
      <c r="E13" s="52"/>
      <c r="F13" s="52"/>
      <c r="G13" s="58"/>
      <c r="H13" s="52"/>
      <c r="I13" s="52"/>
      <c r="J13" s="52"/>
      <c r="K13" s="52"/>
      <c r="L13" s="52"/>
      <c r="M13" s="52"/>
      <c r="N13" s="52">
        <f t="shared" si="0"/>
        <v>529</v>
      </c>
    </row>
    <row r="14" spans="1:14" ht="16.2" x14ac:dyDescent="0.25">
      <c r="A14" s="50" t="s">
        <v>133</v>
      </c>
      <c r="B14" s="52"/>
      <c r="C14" s="52"/>
      <c r="D14" s="52"/>
      <c r="E14" s="52"/>
      <c r="F14" s="52"/>
      <c r="G14" s="58"/>
      <c r="H14" s="52"/>
      <c r="I14" s="52"/>
      <c r="J14" s="52"/>
      <c r="K14" s="52"/>
      <c r="L14" s="52"/>
      <c r="M14" s="52"/>
      <c r="N14" s="52">
        <f t="shared" si="0"/>
        <v>0</v>
      </c>
    </row>
    <row r="15" spans="1:14" ht="16.2" x14ac:dyDescent="0.25">
      <c r="A15" s="50" t="s">
        <v>134</v>
      </c>
      <c r="B15" s="52"/>
      <c r="C15" s="52"/>
      <c r="D15" s="52"/>
      <c r="E15" s="52"/>
      <c r="F15" s="52">
        <v>62</v>
      </c>
      <c r="G15" s="58">
        <v>202</v>
      </c>
      <c r="H15" s="52">
        <v>311</v>
      </c>
      <c r="I15" s="52">
        <v>347</v>
      </c>
      <c r="J15" s="52">
        <v>145</v>
      </c>
      <c r="K15" s="52"/>
      <c r="L15" s="52"/>
      <c r="M15" s="52"/>
      <c r="N15" s="52">
        <f t="shared" si="0"/>
        <v>1067</v>
      </c>
    </row>
    <row r="16" spans="1:14" ht="16.2" x14ac:dyDescent="0.25">
      <c r="A16" s="50" t="s">
        <v>135</v>
      </c>
      <c r="B16" s="52">
        <v>43</v>
      </c>
      <c r="C16" s="52">
        <v>42</v>
      </c>
      <c r="D16" s="52">
        <v>54</v>
      </c>
      <c r="E16" s="52"/>
      <c r="F16" s="52"/>
      <c r="G16" s="58"/>
      <c r="H16" s="52"/>
      <c r="I16" s="52"/>
      <c r="J16" s="52">
        <v>108</v>
      </c>
      <c r="K16" s="52">
        <v>70</v>
      </c>
      <c r="L16" s="52">
        <v>41</v>
      </c>
      <c r="M16" s="52">
        <v>46</v>
      </c>
      <c r="N16" s="52">
        <f t="shared" si="0"/>
        <v>404</v>
      </c>
    </row>
    <row r="17" spans="1:14" ht="16.2" x14ac:dyDescent="0.25">
      <c r="A17" s="50" t="s">
        <v>60</v>
      </c>
      <c r="B17" s="52">
        <v>2975</v>
      </c>
      <c r="C17" s="52">
        <v>2200</v>
      </c>
      <c r="D17" s="52">
        <v>3500</v>
      </c>
      <c r="E17" s="52"/>
      <c r="F17" s="52">
        <v>4950</v>
      </c>
      <c r="G17" s="58">
        <v>1675</v>
      </c>
      <c r="H17" s="52">
        <v>1575</v>
      </c>
      <c r="I17" s="52">
        <v>1700</v>
      </c>
      <c r="J17" s="52">
        <v>1600</v>
      </c>
      <c r="K17" s="52">
        <v>1825</v>
      </c>
      <c r="L17" s="52">
        <v>1725</v>
      </c>
      <c r="M17" s="52">
        <v>1575</v>
      </c>
      <c r="N17" s="52">
        <f t="shared" si="0"/>
        <v>25300</v>
      </c>
    </row>
    <row r="18" spans="1:14" ht="16.2" x14ac:dyDescent="0.25">
      <c r="A18" s="50" t="s">
        <v>111</v>
      </c>
      <c r="B18" s="52"/>
      <c r="C18" s="52"/>
      <c r="D18" s="52"/>
      <c r="E18" s="52"/>
      <c r="F18" s="52">
        <v>1135</v>
      </c>
      <c r="G18" s="58">
        <v>2535</v>
      </c>
      <c r="H18" s="52">
        <v>4711</v>
      </c>
      <c r="I18" s="52">
        <v>3837</v>
      </c>
      <c r="J18" s="52">
        <v>1158</v>
      </c>
      <c r="K18" s="52"/>
      <c r="L18" s="52"/>
      <c r="M18" s="52"/>
      <c r="N18" s="52">
        <f t="shared" si="0"/>
        <v>13376</v>
      </c>
    </row>
    <row r="19" spans="1:14" ht="16.2" x14ac:dyDescent="0.25">
      <c r="A19" s="50" t="s">
        <v>136</v>
      </c>
      <c r="B19" s="52">
        <v>1905</v>
      </c>
      <c r="C19" s="52">
        <v>1873</v>
      </c>
      <c r="D19" s="52">
        <v>2327</v>
      </c>
      <c r="E19" s="52"/>
      <c r="F19" s="52"/>
      <c r="G19" s="58"/>
      <c r="H19" s="52"/>
      <c r="I19" s="52"/>
      <c r="J19" s="52">
        <v>1863</v>
      </c>
      <c r="K19" s="52">
        <v>2200</v>
      </c>
      <c r="L19" s="52">
        <v>1873</v>
      </c>
      <c r="M19" s="52">
        <v>2067</v>
      </c>
      <c r="N19" s="52">
        <f t="shared" si="0"/>
        <v>14108</v>
      </c>
    </row>
    <row r="20" spans="1:14" ht="16.2" x14ac:dyDescent="0.25">
      <c r="A20" s="50" t="s">
        <v>127</v>
      </c>
      <c r="B20" s="52"/>
      <c r="C20" s="52"/>
      <c r="D20" s="52"/>
      <c r="E20" s="52"/>
      <c r="F20" s="52">
        <v>959</v>
      </c>
      <c r="G20" s="58">
        <v>2282</v>
      </c>
      <c r="H20" s="52">
        <v>3433</v>
      </c>
      <c r="I20" s="52">
        <v>3253</v>
      </c>
      <c r="J20" s="52">
        <v>1055</v>
      </c>
      <c r="K20" s="52"/>
      <c r="L20" s="52"/>
      <c r="M20" s="52"/>
      <c r="N20" s="52">
        <f t="shared" si="0"/>
        <v>10982</v>
      </c>
    </row>
    <row r="21" spans="1:14" ht="16.2" x14ac:dyDescent="0.25">
      <c r="A21" s="50" t="s">
        <v>137</v>
      </c>
      <c r="B21" s="52">
        <v>2364</v>
      </c>
      <c r="C21" s="52">
        <v>2347</v>
      </c>
      <c r="D21" s="52">
        <v>2647</v>
      </c>
      <c r="E21" s="52"/>
      <c r="F21" s="52"/>
      <c r="G21" s="58"/>
      <c r="H21" s="52"/>
      <c r="I21" s="52"/>
      <c r="J21" s="52">
        <v>1745</v>
      </c>
      <c r="K21" s="52">
        <v>2427</v>
      </c>
      <c r="L21" s="52">
        <v>2370</v>
      </c>
      <c r="M21" s="52">
        <v>2616</v>
      </c>
      <c r="N21" s="52">
        <f t="shared" si="0"/>
        <v>16516</v>
      </c>
    </row>
    <row r="22" spans="1:14" ht="16.2" x14ac:dyDescent="0.25">
      <c r="A22" s="50" t="s">
        <v>62</v>
      </c>
      <c r="B22" s="52">
        <v>3</v>
      </c>
      <c r="C22" s="52">
        <v>1</v>
      </c>
      <c r="D22" s="52">
        <v>1</v>
      </c>
      <c r="E22" s="52"/>
      <c r="F22" s="52">
        <v>1</v>
      </c>
      <c r="G22" s="58">
        <v>3</v>
      </c>
      <c r="H22" s="52">
        <v>2</v>
      </c>
      <c r="I22" s="52">
        <v>2</v>
      </c>
      <c r="J22" s="52"/>
      <c r="K22" s="52">
        <v>1</v>
      </c>
      <c r="L22" s="52">
        <v>1</v>
      </c>
      <c r="M22" s="52">
        <v>2</v>
      </c>
      <c r="N22" s="52">
        <f t="shared" si="0"/>
        <v>17</v>
      </c>
    </row>
    <row r="23" spans="1:14" ht="16.2" x14ac:dyDescent="0.25">
      <c r="A23" s="50" t="s">
        <v>138</v>
      </c>
      <c r="B23" s="52"/>
      <c r="C23" s="52"/>
      <c r="D23" s="52"/>
      <c r="E23" s="52"/>
      <c r="F23" s="52">
        <v>15</v>
      </c>
      <c r="G23" s="58">
        <v>41</v>
      </c>
      <c r="H23" s="52">
        <v>73</v>
      </c>
      <c r="I23" s="52">
        <v>58</v>
      </c>
      <c r="J23" s="52">
        <v>16</v>
      </c>
      <c r="K23" s="52"/>
      <c r="L23" s="52"/>
      <c r="M23" s="52"/>
      <c r="N23" s="52">
        <f t="shared" si="0"/>
        <v>203</v>
      </c>
    </row>
    <row r="24" spans="1:14" ht="16.2" x14ac:dyDescent="0.25">
      <c r="A24" s="50" t="s">
        <v>139</v>
      </c>
      <c r="B24" s="52">
        <v>5</v>
      </c>
      <c r="C24" s="52">
        <v>6</v>
      </c>
      <c r="D24" s="52">
        <v>10</v>
      </c>
      <c r="E24" s="52"/>
      <c r="F24" s="52"/>
      <c r="G24" s="58"/>
      <c r="H24" s="52"/>
      <c r="I24" s="52"/>
      <c r="J24" s="52">
        <v>56</v>
      </c>
      <c r="K24" s="52">
        <v>17</v>
      </c>
      <c r="L24" s="52">
        <v>4</v>
      </c>
      <c r="M24" s="52">
        <v>4</v>
      </c>
      <c r="N24" s="52">
        <f t="shared" si="0"/>
        <v>102</v>
      </c>
    </row>
    <row r="25" spans="1:14" ht="16.2" x14ac:dyDescent="0.25">
      <c r="A25" s="50" t="s">
        <v>11</v>
      </c>
      <c r="B25" s="52">
        <v>20</v>
      </c>
      <c r="C25" s="52">
        <v>17</v>
      </c>
      <c r="D25" s="52">
        <v>23</v>
      </c>
      <c r="E25" s="52"/>
      <c r="F25" s="52">
        <v>6</v>
      </c>
      <c r="G25" s="58">
        <v>14</v>
      </c>
      <c r="H25" s="52"/>
      <c r="I25" s="52"/>
      <c r="J25" s="52">
        <v>18</v>
      </c>
      <c r="K25" s="52">
        <v>20</v>
      </c>
      <c r="L25" s="52">
        <v>19</v>
      </c>
      <c r="M25" s="52">
        <v>12</v>
      </c>
      <c r="N25" s="52">
        <f t="shared" si="0"/>
        <v>149</v>
      </c>
    </row>
    <row r="26" spans="1:14" ht="16.2" x14ac:dyDescent="0.25">
      <c r="A26" s="50" t="s">
        <v>12</v>
      </c>
      <c r="B26" s="52"/>
      <c r="C26" s="52">
        <v>2</v>
      </c>
      <c r="D26" s="52">
        <v>2</v>
      </c>
      <c r="E26" s="52"/>
      <c r="F26" s="52"/>
      <c r="G26" s="58"/>
      <c r="H26" s="65"/>
      <c r="I26" s="52"/>
      <c r="J26" s="52">
        <v>6</v>
      </c>
      <c r="K26" s="52">
        <v>17</v>
      </c>
      <c r="L26" s="52">
        <v>11</v>
      </c>
      <c r="M26" s="52"/>
      <c r="N26" s="52">
        <f t="shared" si="0"/>
        <v>38</v>
      </c>
    </row>
    <row r="27" spans="1:14" ht="16.2" x14ac:dyDescent="0.25">
      <c r="A27" s="50" t="s">
        <v>145</v>
      </c>
      <c r="B27" s="52"/>
      <c r="C27" s="52"/>
      <c r="D27" s="52"/>
      <c r="E27" s="52"/>
      <c r="F27" s="52">
        <v>196</v>
      </c>
      <c r="G27" s="58">
        <v>425</v>
      </c>
      <c r="H27" s="52">
        <v>605</v>
      </c>
      <c r="I27" s="52">
        <v>596</v>
      </c>
      <c r="J27" s="52">
        <v>188</v>
      </c>
      <c r="K27" s="52"/>
      <c r="L27" s="52"/>
      <c r="M27" s="52"/>
      <c r="N27" s="52">
        <f t="shared" si="0"/>
        <v>2010</v>
      </c>
    </row>
    <row r="28" spans="1:14" ht="16.2" x14ac:dyDescent="0.25">
      <c r="A28" s="50" t="s">
        <v>146</v>
      </c>
      <c r="B28" s="52">
        <v>471</v>
      </c>
      <c r="C28" s="52">
        <v>447</v>
      </c>
      <c r="D28" s="52">
        <v>485</v>
      </c>
      <c r="E28" s="52"/>
      <c r="F28" s="52"/>
      <c r="G28" s="58"/>
      <c r="H28" s="52"/>
      <c r="I28" s="52"/>
      <c r="J28" s="52">
        <v>383</v>
      </c>
      <c r="K28" s="52">
        <v>540</v>
      </c>
      <c r="L28" s="52">
        <v>555</v>
      </c>
      <c r="M28" s="52">
        <v>489</v>
      </c>
      <c r="N28" s="52">
        <f t="shared" si="0"/>
        <v>3370</v>
      </c>
    </row>
    <row r="29" spans="1:14" ht="16.2" x14ac:dyDescent="0.25">
      <c r="A29" s="50" t="s">
        <v>184</v>
      </c>
      <c r="B29" s="52"/>
      <c r="C29" s="52"/>
      <c r="D29" s="52"/>
      <c r="E29" s="52"/>
      <c r="F29" s="52">
        <v>542</v>
      </c>
      <c r="G29" s="58">
        <v>1404</v>
      </c>
      <c r="H29" s="52">
        <v>2865</v>
      </c>
      <c r="I29" s="52">
        <v>2571</v>
      </c>
      <c r="J29" s="52">
        <v>731</v>
      </c>
      <c r="K29" s="52"/>
      <c r="L29" s="52"/>
      <c r="M29" s="52"/>
      <c r="N29" s="52">
        <f t="shared" si="0"/>
        <v>8113</v>
      </c>
    </row>
    <row r="30" spans="1:14" ht="16.2" x14ac:dyDescent="0.25">
      <c r="A30" s="50" t="s">
        <v>183</v>
      </c>
      <c r="B30" s="52">
        <v>842</v>
      </c>
      <c r="C30" s="52">
        <v>865</v>
      </c>
      <c r="D30" s="52">
        <v>1063</v>
      </c>
      <c r="E30" s="52"/>
      <c r="F30" s="52"/>
      <c r="G30" s="58"/>
      <c r="H30" s="52"/>
      <c r="I30" s="52"/>
      <c r="J30" s="52">
        <v>798</v>
      </c>
      <c r="K30" s="52">
        <v>896</v>
      </c>
      <c r="L30" s="52">
        <v>871</v>
      </c>
      <c r="M30" s="52">
        <v>838</v>
      </c>
      <c r="N30" s="52">
        <f t="shared" si="0"/>
        <v>6173</v>
      </c>
    </row>
    <row r="31" spans="1:14" ht="16.2" x14ac:dyDescent="0.25">
      <c r="A31" s="50" t="s">
        <v>140</v>
      </c>
      <c r="B31" s="52"/>
      <c r="C31" s="52"/>
      <c r="D31" s="52"/>
      <c r="E31" s="52"/>
      <c r="F31" s="52">
        <v>3</v>
      </c>
      <c r="G31" s="58">
        <v>3</v>
      </c>
      <c r="H31" s="52">
        <v>5</v>
      </c>
      <c r="I31" s="52">
        <v>1</v>
      </c>
      <c r="J31" s="52">
        <v>4</v>
      </c>
      <c r="K31" s="52"/>
      <c r="L31" s="52"/>
      <c r="M31" s="52"/>
      <c r="N31" s="52">
        <f t="shared" si="0"/>
        <v>16</v>
      </c>
    </row>
    <row r="32" spans="1:14" ht="16.2" x14ac:dyDescent="0.25">
      <c r="A32" s="50" t="s">
        <v>141</v>
      </c>
      <c r="B32" s="52"/>
      <c r="C32" s="52"/>
      <c r="D32" s="52">
        <v>3</v>
      </c>
      <c r="E32" s="52"/>
      <c r="F32" s="52"/>
      <c r="G32" s="58"/>
      <c r="H32" s="52"/>
      <c r="I32" s="52"/>
      <c r="J32" s="52">
        <v>8</v>
      </c>
      <c r="K32" s="52"/>
      <c r="L32" s="52"/>
      <c r="M32" s="52"/>
      <c r="N32" s="52">
        <f t="shared" si="0"/>
        <v>11</v>
      </c>
    </row>
    <row r="33" spans="1:14" ht="16.2" x14ac:dyDescent="0.25">
      <c r="A33" s="50" t="s">
        <v>91</v>
      </c>
      <c r="B33" s="52"/>
      <c r="C33" s="52"/>
      <c r="D33" s="52"/>
      <c r="E33" s="52"/>
      <c r="F33" s="52"/>
      <c r="G33" s="58"/>
      <c r="H33" s="52"/>
      <c r="I33" s="52"/>
      <c r="J33" s="52"/>
      <c r="K33" s="52"/>
      <c r="L33" s="52"/>
      <c r="M33" s="52"/>
      <c r="N33" s="52">
        <f t="shared" si="0"/>
        <v>0</v>
      </c>
    </row>
    <row r="34" spans="1:14" ht="16.2" x14ac:dyDescent="0.25">
      <c r="A34" s="50" t="s">
        <v>15</v>
      </c>
      <c r="B34" s="52">
        <v>2000</v>
      </c>
      <c r="C34" s="52">
        <v>1800</v>
      </c>
      <c r="D34" s="52">
        <v>1950</v>
      </c>
      <c r="E34" s="52"/>
      <c r="F34" s="52">
        <v>3500</v>
      </c>
      <c r="G34" s="58">
        <f>850+1</f>
        <v>851</v>
      </c>
      <c r="H34" s="52">
        <v>1200</v>
      </c>
      <c r="I34" s="52">
        <v>1050</v>
      </c>
      <c r="J34" s="52">
        <v>1175</v>
      </c>
      <c r="K34" s="52">
        <v>975</v>
      </c>
      <c r="L34" s="52">
        <v>1000</v>
      </c>
      <c r="M34" s="52">
        <v>975</v>
      </c>
      <c r="N34" s="52">
        <f t="shared" si="0"/>
        <v>16476</v>
      </c>
    </row>
    <row r="35" spans="1:14" ht="16.2" x14ac:dyDescent="0.25">
      <c r="A35" s="50" t="s">
        <v>116</v>
      </c>
      <c r="B35" s="52"/>
      <c r="C35" s="52"/>
      <c r="D35" s="52"/>
      <c r="E35" s="52"/>
      <c r="F35" s="52">
        <v>24</v>
      </c>
      <c r="G35" s="58">
        <v>46</v>
      </c>
      <c r="H35" s="52">
        <v>83</v>
      </c>
      <c r="I35" s="52">
        <v>109</v>
      </c>
      <c r="J35" s="52">
        <v>30</v>
      </c>
      <c r="K35" s="52"/>
      <c r="L35" s="52"/>
      <c r="M35" s="52"/>
      <c r="N35" s="52">
        <f t="shared" si="0"/>
        <v>292</v>
      </c>
    </row>
    <row r="36" spans="1:14" ht="16.2" x14ac:dyDescent="0.25">
      <c r="A36" s="50" t="s">
        <v>142</v>
      </c>
      <c r="B36" s="52">
        <v>2</v>
      </c>
      <c r="C36" s="52">
        <v>2</v>
      </c>
      <c r="D36" s="52">
        <v>3</v>
      </c>
      <c r="E36" s="52"/>
      <c r="F36" s="52"/>
      <c r="G36" s="58"/>
      <c r="H36" s="52"/>
      <c r="I36" s="52"/>
      <c r="J36" s="52">
        <v>20</v>
      </c>
      <c r="K36" s="52">
        <v>16</v>
      </c>
      <c r="L36" s="52">
        <v>1</v>
      </c>
      <c r="M36" s="52">
        <v>4</v>
      </c>
      <c r="N36" s="52">
        <f t="shared" si="0"/>
        <v>48</v>
      </c>
    </row>
    <row r="37" spans="1:14" ht="16.2" x14ac:dyDescent="0.25">
      <c r="A37" s="50" t="s">
        <v>118</v>
      </c>
      <c r="B37" s="52"/>
      <c r="C37" s="52"/>
      <c r="D37" s="52"/>
      <c r="E37" s="52"/>
      <c r="F37" s="52">
        <v>63</v>
      </c>
      <c r="G37" s="58">
        <v>252</v>
      </c>
      <c r="H37" s="52">
        <v>310</v>
      </c>
      <c r="I37" s="52">
        <v>282</v>
      </c>
      <c r="J37" s="52">
        <v>88</v>
      </c>
      <c r="K37" s="52"/>
      <c r="L37" s="52"/>
      <c r="M37" s="52"/>
      <c r="N37" s="52">
        <f t="shared" si="0"/>
        <v>995</v>
      </c>
    </row>
    <row r="38" spans="1:14" ht="16.2" x14ac:dyDescent="0.25">
      <c r="A38" s="50" t="s">
        <v>147</v>
      </c>
      <c r="B38" s="52">
        <v>158</v>
      </c>
      <c r="C38" s="52">
        <v>182</v>
      </c>
      <c r="D38" s="52">
        <v>271</v>
      </c>
      <c r="E38" s="52"/>
      <c r="F38" s="52"/>
      <c r="G38" s="58"/>
      <c r="H38" s="52"/>
      <c r="I38" s="52"/>
      <c r="J38" s="52">
        <v>194</v>
      </c>
      <c r="K38" s="52">
        <v>238</v>
      </c>
      <c r="L38" s="52">
        <v>204</v>
      </c>
      <c r="M38" s="52">
        <v>154</v>
      </c>
      <c r="N38" s="52">
        <f t="shared" si="0"/>
        <v>1401</v>
      </c>
    </row>
    <row r="39" spans="1:14" ht="16.2" x14ac:dyDescent="0.25">
      <c r="A39" s="50" t="s">
        <v>119</v>
      </c>
      <c r="B39" s="52"/>
      <c r="C39" s="52"/>
      <c r="D39" s="52"/>
      <c r="E39" s="52"/>
      <c r="F39" s="52">
        <v>25</v>
      </c>
      <c r="G39" s="58">
        <v>81</v>
      </c>
      <c r="H39" s="52">
        <v>79</v>
      </c>
      <c r="I39" s="52">
        <v>93</v>
      </c>
      <c r="J39" s="52">
        <v>25</v>
      </c>
      <c r="K39" s="52"/>
      <c r="L39" s="52"/>
      <c r="M39" s="52"/>
      <c r="N39" s="52">
        <f t="shared" si="0"/>
        <v>303</v>
      </c>
    </row>
    <row r="40" spans="1:14" ht="16.2" x14ac:dyDescent="0.25">
      <c r="A40" s="50" t="s">
        <v>148</v>
      </c>
      <c r="B40" s="52">
        <v>92</v>
      </c>
      <c r="C40" s="52">
        <v>57</v>
      </c>
      <c r="D40" s="52">
        <v>122</v>
      </c>
      <c r="E40" s="52"/>
      <c r="F40" s="52"/>
      <c r="G40" s="58"/>
      <c r="H40" s="52"/>
      <c r="I40" s="52"/>
      <c r="J40" s="52">
        <v>64</v>
      </c>
      <c r="K40" s="52">
        <v>108</v>
      </c>
      <c r="L40" s="52">
        <v>86</v>
      </c>
      <c r="M40" s="52">
        <v>101</v>
      </c>
      <c r="N40" s="52">
        <f t="shared" si="0"/>
        <v>630</v>
      </c>
    </row>
    <row r="41" spans="1:14" ht="16.2" x14ac:dyDescent="0.25">
      <c r="A41" s="50" t="s">
        <v>120</v>
      </c>
      <c r="B41" s="52"/>
      <c r="C41" s="52"/>
      <c r="D41" s="52"/>
      <c r="E41" s="52"/>
      <c r="F41" s="52">
        <v>18</v>
      </c>
      <c r="G41" s="58">
        <v>48</v>
      </c>
      <c r="H41" s="52">
        <v>113</v>
      </c>
      <c r="I41" s="52">
        <v>75</v>
      </c>
      <c r="J41" s="52">
        <v>22</v>
      </c>
      <c r="K41" s="52"/>
      <c r="L41" s="52"/>
      <c r="M41" s="52"/>
      <c r="N41" s="52">
        <f t="shared" si="0"/>
        <v>276</v>
      </c>
    </row>
    <row r="42" spans="1:14" ht="16.2" x14ac:dyDescent="0.25">
      <c r="A42" s="50" t="s">
        <v>149</v>
      </c>
      <c r="B42" s="52">
        <v>24</v>
      </c>
      <c r="C42" s="52">
        <v>24</v>
      </c>
      <c r="D42" s="52">
        <v>50</v>
      </c>
      <c r="E42" s="52"/>
      <c r="F42" s="52"/>
      <c r="G42" s="58"/>
      <c r="H42" s="52"/>
      <c r="I42" s="52"/>
      <c r="J42" s="52">
        <v>47</v>
      </c>
      <c r="K42" s="52">
        <v>50</v>
      </c>
      <c r="L42" s="52">
        <v>40</v>
      </c>
      <c r="M42" s="52">
        <v>28</v>
      </c>
      <c r="N42" s="52">
        <f t="shared" si="0"/>
        <v>263</v>
      </c>
    </row>
    <row r="43" spans="1:14" ht="16.2" x14ac:dyDescent="0.25">
      <c r="A43" s="50" t="s">
        <v>121</v>
      </c>
      <c r="B43" s="52"/>
      <c r="C43" s="52"/>
      <c r="D43" s="52"/>
      <c r="E43" s="52"/>
      <c r="F43" s="52">
        <v>17</v>
      </c>
      <c r="G43" s="58">
        <v>53</v>
      </c>
      <c r="H43" s="52">
        <v>80</v>
      </c>
      <c r="I43" s="52">
        <v>79</v>
      </c>
      <c r="J43" s="52">
        <v>18</v>
      </c>
      <c r="K43" s="52"/>
      <c r="L43" s="52"/>
      <c r="M43" s="52"/>
      <c r="N43" s="52">
        <f t="shared" si="0"/>
        <v>247</v>
      </c>
    </row>
    <row r="44" spans="1:14" ht="16.2" x14ac:dyDescent="0.25">
      <c r="A44" s="50" t="s">
        <v>150</v>
      </c>
      <c r="B44" s="52">
        <v>24</v>
      </c>
      <c r="C44" s="52">
        <v>21</v>
      </c>
      <c r="D44" s="52">
        <v>55</v>
      </c>
      <c r="E44" s="52"/>
      <c r="F44" s="52"/>
      <c r="G44" s="58"/>
      <c r="H44" s="52"/>
      <c r="I44" s="52"/>
      <c r="J44" s="52">
        <v>37</v>
      </c>
      <c r="K44" s="52">
        <v>58</v>
      </c>
      <c r="L44" s="52">
        <v>30</v>
      </c>
      <c r="M44" s="52">
        <v>21</v>
      </c>
      <c r="N44" s="52">
        <f t="shared" si="0"/>
        <v>246</v>
      </c>
    </row>
    <row r="45" spans="1:14" ht="16.2" x14ac:dyDescent="0.25">
      <c r="A45" s="50" t="s">
        <v>122</v>
      </c>
      <c r="B45" s="52"/>
      <c r="C45" s="52"/>
      <c r="D45" s="52"/>
      <c r="E45" s="52"/>
      <c r="F45" s="52">
        <v>9</v>
      </c>
      <c r="G45" s="58">
        <v>25</v>
      </c>
      <c r="H45" s="52">
        <v>38</v>
      </c>
      <c r="I45" s="52">
        <v>30</v>
      </c>
      <c r="J45" s="52">
        <v>10</v>
      </c>
      <c r="K45" s="52"/>
      <c r="L45" s="52"/>
      <c r="M45" s="52"/>
      <c r="N45" s="52">
        <f t="shared" si="0"/>
        <v>112</v>
      </c>
    </row>
    <row r="46" spans="1:14" ht="16.2" x14ac:dyDescent="0.25">
      <c r="A46" s="50" t="s">
        <v>151</v>
      </c>
      <c r="B46" s="52">
        <v>5</v>
      </c>
      <c r="C46" s="52">
        <v>14</v>
      </c>
      <c r="D46" s="52">
        <v>24</v>
      </c>
      <c r="E46" s="52"/>
      <c r="F46" s="52"/>
      <c r="G46" s="58"/>
      <c r="H46" s="52"/>
      <c r="I46" s="52"/>
      <c r="J46" s="52">
        <v>14</v>
      </c>
      <c r="K46" s="52">
        <v>14</v>
      </c>
      <c r="L46" s="52">
        <v>15</v>
      </c>
      <c r="M46" s="52">
        <v>10</v>
      </c>
      <c r="N46" s="52">
        <f t="shared" si="0"/>
        <v>96</v>
      </c>
    </row>
    <row r="47" spans="1:14" ht="16.2" x14ac:dyDescent="0.25">
      <c r="A47" s="50" t="s">
        <v>123</v>
      </c>
      <c r="B47" s="52"/>
      <c r="C47" s="52"/>
      <c r="D47" s="52"/>
      <c r="E47" s="52"/>
      <c r="F47" s="52">
        <v>1</v>
      </c>
      <c r="G47" s="58">
        <v>12</v>
      </c>
      <c r="H47" s="52">
        <v>21</v>
      </c>
      <c r="I47" s="52">
        <v>13</v>
      </c>
      <c r="J47" s="52">
        <v>2</v>
      </c>
      <c r="K47" s="52"/>
      <c r="L47" s="52"/>
      <c r="M47" s="52"/>
      <c r="N47" s="52">
        <f t="shared" si="0"/>
        <v>49</v>
      </c>
    </row>
    <row r="48" spans="1:14" ht="16.2" x14ac:dyDescent="0.25">
      <c r="A48" s="50" t="s">
        <v>152</v>
      </c>
      <c r="B48" s="52">
        <v>3</v>
      </c>
      <c r="C48" s="52">
        <v>8</v>
      </c>
      <c r="D48" s="52">
        <v>5</v>
      </c>
      <c r="E48" s="52"/>
      <c r="F48" s="52"/>
      <c r="G48" s="58"/>
      <c r="H48" s="52"/>
      <c r="I48" s="52"/>
      <c r="J48" s="52">
        <v>5</v>
      </c>
      <c r="K48" s="52">
        <v>6</v>
      </c>
      <c r="L48" s="52">
        <v>2</v>
      </c>
      <c r="M48" s="52">
        <v>4</v>
      </c>
      <c r="N48" s="52">
        <f t="shared" si="0"/>
        <v>33</v>
      </c>
    </row>
    <row r="49" spans="1:14" ht="16.2" x14ac:dyDescent="0.25">
      <c r="A49" s="50" t="s">
        <v>124</v>
      </c>
      <c r="B49" s="52"/>
      <c r="C49" s="52"/>
      <c r="D49" s="52"/>
      <c r="E49" s="52"/>
      <c r="F49" s="52">
        <v>1</v>
      </c>
      <c r="G49" s="58"/>
      <c r="H49" s="52">
        <v>3</v>
      </c>
      <c r="I49" s="52">
        <v>3</v>
      </c>
      <c r="J49" s="52">
        <v>1</v>
      </c>
      <c r="K49" s="52"/>
      <c r="L49" s="52"/>
      <c r="M49" s="52"/>
      <c r="N49" s="52">
        <f t="shared" si="0"/>
        <v>8</v>
      </c>
    </row>
    <row r="50" spans="1:14" ht="16.2" x14ac:dyDescent="0.25">
      <c r="A50" s="50" t="s">
        <v>153</v>
      </c>
      <c r="B50" s="52">
        <v>2</v>
      </c>
      <c r="C50" s="52">
        <v>0</v>
      </c>
      <c r="D50" s="52">
        <v>3</v>
      </c>
      <c r="E50" s="52"/>
      <c r="F50" s="52"/>
      <c r="G50" s="58"/>
      <c r="H50" s="52"/>
      <c r="I50" s="52"/>
      <c r="J50" s="52"/>
      <c r="K50" s="52">
        <v>4</v>
      </c>
      <c r="L50" s="52">
        <v>4</v>
      </c>
      <c r="M50" s="52">
        <v>2</v>
      </c>
      <c r="N50" s="52">
        <f t="shared" si="0"/>
        <v>15</v>
      </c>
    </row>
    <row r="51" spans="1:14" ht="16.2" x14ac:dyDescent="0.25">
      <c r="A51" s="50" t="s">
        <v>125</v>
      </c>
      <c r="B51" s="52"/>
      <c r="C51" s="52"/>
      <c r="D51" s="52"/>
      <c r="E51" s="52"/>
      <c r="F51" s="52"/>
      <c r="G51" s="58">
        <v>7</v>
      </c>
      <c r="H51" s="52"/>
      <c r="I51" s="52">
        <v>1</v>
      </c>
      <c r="J51" s="52"/>
      <c r="K51" s="52"/>
      <c r="L51" s="52"/>
      <c r="M51" s="52"/>
      <c r="N51" s="52">
        <f t="shared" si="0"/>
        <v>8</v>
      </c>
    </row>
    <row r="52" spans="1:14" ht="16.2" x14ac:dyDescent="0.25">
      <c r="A52" s="50" t="s">
        <v>154</v>
      </c>
      <c r="B52" s="52">
        <v>3</v>
      </c>
      <c r="C52" s="52">
        <v>1</v>
      </c>
      <c r="D52" s="52">
        <v>2</v>
      </c>
      <c r="E52" s="52"/>
      <c r="F52" s="52"/>
      <c r="G52" s="58"/>
      <c r="H52" s="52"/>
      <c r="I52" s="52"/>
      <c r="J52" s="52">
        <v>12</v>
      </c>
      <c r="K52" s="52">
        <v>2</v>
      </c>
      <c r="L52" s="52">
        <v>1</v>
      </c>
      <c r="M52" s="52">
        <v>2</v>
      </c>
      <c r="N52" s="52">
        <f t="shared" si="0"/>
        <v>23</v>
      </c>
    </row>
    <row r="53" spans="1:14" ht="16.2" x14ac:dyDescent="0.25">
      <c r="A53" s="50" t="s">
        <v>126</v>
      </c>
      <c r="B53" s="52"/>
      <c r="C53" s="52"/>
      <c r="D53" s="52"/>
      <c r="E53" s="52"/>
      <c r="F53" s="52"/>
      <c r="G53" s="58">
        <v>2</v>
      </c>
      <c r="H53" s="52">
        <v>2</v>
      </c>
      <c r="I53" s="52"/>
      <c r="J53" s="52"/>
      <c r="K53" s="52"/>
      <c r="L53" s="52"/>
      <c r="M53" s="52"/>
      <c r="N53" s="52">
        <f t="shared" si="0"/>
        <v>4</v>
      </c>
    </row>
    <row r="54" spans="1:14" ht="16.2" x14ac:dyDescent="0.25">
      <c r="A54" s="57" t="s">
        <v>155</v>
      </c>
      <c r="B54" s="55"/>
      <c r="C54" s="52">
        <v>4</v>
      </c>
      <c r="D54" s="52">
        <v>4</v>
      </c>
      <c r="E54" s="52"/>
      <c r="F54" s="52"/>
      <c r="G54" s="58"/>
      <c r="H54" s="52"/>
      <c r="I54" s="52"/>
      <c r="J54" s="52">
        <v>3</v>
      </c>
      <c r="K54" s="52">
        <v>9</v>
      </c>
      <c r="L54" s="52">
        <v>7</v>
      </c>
      <c r="M54" s="52"/>
      <c r="N54" s="52">
        <f t="shared" si="0"/>
        <v>27</v>
      </c>
    </row>
    <row r="55" spans="1:14" ht="16.2" x14ac:dyDescent="0.25">
      <c r="A55" s="56" t="s">
        <v>77</v>
      </c>
      <c r="B55" s="58">
        <v>20</v>
      </c>
      <c r="C55" s="52">
        <v>17</v>
      </c>
      <c r="D55" s="52">
        <v>23</v>
      </c>
      <c r="E55" s="52"/>
      <c r="F55" s="52">
        <v>6</v>
      </c>
      <c r="G55" s="52">
        <v>14</v>
      </c>
      <c r="H55" s="52"/>
      <c r="I55" s="52"/>
      <c r="J55" s="52">
        <v>18</v>
      </c>
      <c r="K55" s="52">
        <v>20</v>
      </c>
      <c r="L55" s="52">
        <v>19</v>
      </c>
      <c r="M55" s="52">
        <v>12</v>
      </c>
      <c r="N55" s="52">
        <f t="shared" si="0"/>
        <v>149</v>
      </c>
    </row>
    <row r="56" spans="1:14" ht="16.2" x14ac:dyDescent="0.25">
      <c r="A56" s="59" t="s">
        <v>26</v>
      </c>
      <c r="B56" s="58">
        <v>684</v>
      </c>
      <c r="C56" s="52">
        <v>629</v>
      </c>
      <c r="D56" s="52">
        <v>676</v>
      </c>
      <c r="E56" s="52">
        <v>404</v>
      </c>
      <c r="F56" s="52">
        <v>501</v>
      </c>
      <c r="G56" s="52">
        <v>694</v>
      </c>
      <c r="H56" s="52">
        <v>740</v>
      </c>
      <c r="I56" s="52">
        <v>744</v>
      </c>
      <c r="J56" s="52">
        <v>704</v>
      </c>
      <c r="K56" s="52">
        <v>704</v>
      </c>
      <c r="L56" s="52">
        <v>681</v>
      </c>
      <c r="M56" s="52">
        <v>706</v>
      </c>
      <c r="N56" s="58">
        <f t="shared" si="0"/>
        <v>7867</v>
      </c>
    </row>
    <row r="57" spans="1:14" ht="16.2" x14ac:dyDescent="0.25">
      <c r="A57" s="56" t="s">
        <v>158</v>
      </c>
      <c r="B57">
        <f>SUM(B4:B56)</f>
        <v>16214</v>
      </c>
      <c r="C57">
        <f t="shared" ref="C57:N57" si="1">SUM(C4:C56)</f>
        <v>13922</v>
      </c>
      <c r="D57">
        <f t="shared" si="1"/>
        <v>18638</v>
      </c>
      <c r="E57">
        <f t="shared" si="1"/>
        <v>404</v>
      </c>
      <c r="F57">
        <f t="shared" si="1"/>
        <v>17834</v>
      </c>
      <c r="G57">
        <f t="shared" si="1"/>
        <v>13831</v>
      </c>
      <c r="H57">
        <f t="shared" si="1"/>
        <v>19209</v>
      </c>
      <c r="I57">
        <f t="shared" si="1"/>
        <v>17744</v>
      </c>
      <c r="J57">
        <f t="shared" si="1"/>
        <v>15371</v>
      </c>
      <c r="K57">
        <f t="shared" si="1"/>
        <v>13337</v>
      </c>
      <c r="L57">
        <f t="shared" si="1"/>
        <v>12400</v>
      </c>
      <c r="M57">
        <f t="shared" si="1"/>
        <v>12748</v>
      </c>
      <c r="N57">
        <f t="shared" si="1"/>
        <v>171652</v>
      </c>
    </row>
    <row r="59" spans="1:14" ht="16.2" x14ac:dyDescent="0.25">
      <c r="A59" s="39" t="s">
        <v>86</v>
      </c>
      <c r="B59" s="40">
        <f t="shared" ref="B59:N59" si="2">+B4+B6+B8+B10+B13+B14</f>
        <v>4500</v>
      </c>
      <c r="C59" s="40">
        <f t="shared" si="2"/>
        <v>3294</v>
      </c>
      <c r="D59" s="40">
        <f t="shared" si="2"/>
        <v>5335</v>
      </c>
      <c r="E59" s="40">
        <f t="shared" si="2"/>
        <v>0</v>
      </c>
      <c r="F59" s="40">
        <f t="shared" si="2"/>
        <v>5800</v>
      </c>
      <c r="G59" s="40">
        <f t="shared" si="2"/>
        <v>0</v>
      </c>
      <c r="H59" s="40">
        <f t="shared" si="2"/>
        <v>0</v>
      </c>
      <c r="I59" s="40">
        <f t="shared" si="2"/>
        <v>0</v>
      </c>
      <c r="J59" s="40">
        <f t="shared" si="2"/>
        <v>0</v>
      </c>
      <c r="K59" s="40">
        <f t="shared" si="2"/>
        <v>0</v>
      </c>
      <c r="L59" s="40">
        <f t="shared" si="2"/>
        <v>0</v>
      </c>
      <c r="M59" s="40">
        <f t="shared" si="2"/>
        <v>0</v>
      </c>
      <c r="N59" s="40">
        <f t="shared" si="2"/>
        <v>18929</v>
      </c>
    </row>
    <row r="60" spans="1:14" ht="16.2" x14ac:dyDescent="0.25">
      <c r="A60" s="39" t="s">
        <v>157</v>
      </c>
      <c r="B60" s="40">
        <f t="shared" ref="B60:N60" si="3">+B12+B17+B34</f>
        <v>5044</v>
      </c>
      <c r="C60" s="40">
        <f t="shared" si="3"/>
        <v>4069</v>
      </c>
      <c r="D60" s="40">
        <f t="shared" si="3"/>
        <v>5450</v>
      </c>
      <c r="E60" s="40">
        <f t="shared" si="3"/>
        <v>0</v>
      </c>
      <c r="F60" s="40">
        <f t="shared" si="3"/>
        <v>8450</v>
      </c>
      <c r="G60" s="40">
        <f t="shared" si="3"/>
        <v>2526</v>
      </c>
      <c r="H60" s="40">
        <f t="shared" si="3"/>
        <v>2775</v>
      </c>
      <c r="I60" s="40">
        <f t="shared" si="3"/>
        <v>2750</v>
      </c>
      <c r="J60" s="40">
        <f t="shared" si="3"/>
        <v>2775</v>
      </c>
      <c r="K60" s="40">
        <f t="shared" si="3"/>
        <v>2800</v>
      </c>
      <c r="L60" s="40">
        <f t="shared" si="3"/>
        <v>2725</v>
      </c>
      <c r="M60" s="40">
        <f t="shared" si="3"/>
        <v>2550</v>
      </c>
      <c r="N60" s="40">
        <f t="shared" si="3"/>
        <v>41914</v>
      </c>
    </row>
    <row r="61" spans="1:14" ht="16.2" x14ac:dyDescent="0.25">
      <c r="A61" s="33" t="s">
        <v>50</v>
      </c>
      <c r="B61" s="40">
        <f t="shared" ref="B61:N61" si="4">B4+B6+B8+B10+B13+B14+B20+B21+B23+B24+B31+B32+B27+B28+B37+B38+B39+B40+B41+B42+B43+B44+B45+B46+B47+B48+B49+B50+B51+B52+B53+B54</f>
        <v>7651</v>
      </c>
      <c r="C61" s="40">
        <f t="shared" si="4"/>
        <v>6405</v>
      </c>
      <c r="D61" s="40">
        <f t="shared" si="4"/>
        <v>9016</v>
      </c>
      <c r="E61" s="40">
        <f t="shared" si="4"/>
        <v>0</v>
      </c>
      <c r="F61" s="40">
        <f t="shared" si="4"/>
        <v>7107</v>
      </c>
      <c r="G61" s="40">
        <f t="shared" si="4"/>
        <v>3231</v>
      </c>
      <c r="H61" s="40">
        <f t="shared" si="4"/>
        <v>4762</v>
      </c>
      <c r="I61" s="40">
        <f t="shared" si="4"/>
        <v>4484</v>
      </c>
      <c r="J61" s="40">
        <f t="shared" si="4"/>
        <v>3997</v>
      </c>
      <c r="K61" s="40">
        <f t="shared" si="4"/>
        <v>3473</v>
      </c>
      <c r="L61" s="40">
        <f t="shared" si="4"/>
        <v>3318</v>
      </c>
      <c r="M61" s="40">
        <f t="shared" si="4"/>
        <v>3431</v>
      </c>
      <c r="N61" s="40">
        <f t="shared" si="4"/>
        <v>56875</v>
      </c>
    </row>
    <row r="62" spans="1:14" ht="16.2" x14ac:dyDescent="0.25">
      <c r="A62" s="33" t="s">
        <v>28</v>
      </c>
      <c r="B62" s="40">
        <f>SUM(B4:B54)-B26-B33-B25</f>
        <v>15490</v>
      </c>
      <c r="C62" s="40">
        <f t="shared" ref="C62:N62" si="5">SUM(C4:C54)-C26-C33-C25</f>
        <v>13257</v>
      </c>
      <c r="D62" s="40">
        <f t="shared" si="5"/>
        <v>17914</v>
      </c>
      <c r="E62" s="40">
        <f t="shared" si="5"/>
        <v>0</v>
      </c>
      <c r="F62" s="40">
        <f t="shared" si="5"/>
        <v>17321</v>
      </c>
      <c r="G62" s="40">
        <f t="shared" si="5"/>
        <v>13109</v>
      </c>
      <c r="H62" s="40">
        <f t="shared" si="5"/>
        <v>18469</v>
      </c>
      <c r="I62" s="40">
        <f t="shared" si="5"/>
        <v>17000</v>
      </c>
      <c r="J62" s="40">
        <f t="shared" si="5"/>
        <v>14625</v>
      </c>
      <c r="K62" s="40">
        <f t="shared" si="5"/>
        <v>12576</v>
      </c>
      <c r="L62" s="40">
        <f t="shared" si="5"/>
        <v>11670</v>
      </c>
      <c r="M62" s="40">
        <f t="shared" si="5"/>
        <v>12018</v>
      </c>
      <c r="N62" s="40">
        <f t="shared" si="5"/>
        <v>163449</v>
      </c>
    </row>
    <row r="63" spans="1:14" ht="16.2" x14ac:dyDescent="0.25">
      <c r="A63" s="33" t="s">
        <v>46</v>
      </c>
      <c r="B63" s="40">
        <f>SUM(B4:B54)-B26-B33-B55-B56-B25</f>
        <v>14786</v>
      </c>
      <c r="C63" s="40">
        <f t="shared" ref="C63:M63" si="6">SUM(C4:C54)-C26-C33-C55-C56-C25</f>
        <v>12611</v>
      </c>
      <c r="D63" s="40">
        <f t="shared" si="6"/>
        <v>17215</v>
      </c>
      <c r="E63" s="40">
        <v>0</v>
      </c>
      <c r="F63" s="40">
        <f t="shared" si="6"/>
        <v>16814</v>
      </c>
      <c r="G63" s="40">
        <f t="shared" si="6"/>
        <v>12401</v>
      </c>
      <c r="H63" s="40">
        <f t="shared" si="6"/>
        <v>17729</v>
      </c>
      <c r="I63" s="40">
        <f t="shared" si="6"/>
        <v>16256</v>
      </c>
      <c r="J63" s="40">
        <f t="shared" si="6"/>
        <v>13903</v>
      </c>
      <c r="K63" s="40">
        <f t="shared" si="6"/>
        <v>11852</v>
      </c>
      <c r="L63" s="40">
        <f t="shared" si="6"/>
        <v>10970</v>
      </c>
      <c r="M63" s="40">
        <f t="shared" si="6"/>
        <v>11300</v>
      </c>
      <c r="N63" s="40">
        <f>SUM(N4:N54)-N26-N33-N55-N56</f>
        <v>155582</v>
      </c>
    </row>
    <row r="64" spans="1:14" ht="16.2" x14ac:dyDescent="0.25">
      <c r="A64" s="33" t="s">
        <v>52</v>
      </c>
      <c r="B64" s="40">
        <f t="shared" ref="B64:N64" si="7">+B12+B15+B16+B17+B18+B19+B35+B36+B29+B30+B34</f>
        <v>7836</v>
      </c>
      <c r="C64" s="40">
        <f t="shared" si="7"/>
        <v>6851</v>
      </c>
      <c r="D64" s="40">
        <f t="shared" si="7"/>
        <v>8897</v>
      </c>
      <c r="E64" s="40">
        <f t="shared" si="7"/>
        <v>0</v>
      </c>
      <c r="F64" s="40">
        <f t="shared" si="7"/>
        <v>10213</v>
      </c>
      <c r="G64" s="40">
        <f t="shared" si="7"/>
        <v>6713</v>
      </c>
      <c r="H64" s="40">
        <f t="shared" si="7"/>
        <v>10745</v>
      </c>
      <c r="I64" s="40">
        <f t="shared" si="7"/>
        <v>9614</v>
      </c>
      <c r="J64" s="40">
        <f t="shared" si="7"/>
        <v>7628</v>
      </c>
      <c r="K64" s="40">
        <f t="shared" si="7"/>
        <v>5982</v>
      </c>
      <c r="L64" s="40">
        <f t="shared" si="7"/>
        <v>5511</v>
      </c>
      <c r="M64" s="40">
        <f t="shared" si="7"/>
        <v>5505</v>
      </c>
      <c r="N64" s="40">
        <f t="shared" si="7"/>
        <v>85495</v>
      </c>
    </row>
    <row r="65" spans="1:14" ht="16.2" x14ac:dyDescent="0.25">
      <c r="A65" s="36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</row>
    <row r="69" spans="1:14" ht="16.2" x14ac:dyDescent="0.25">
      <c r="A69" s="39" t="s">
        <v>179</v>
      </c>
      <c r="B69" s="40">
        <f>+B4+B8+B6+B10+B13+B14</f>
        <v>4500</v>
      </c>
      <c r="C69" s="40">
        <f>+C4+C8+C6+C10+C13+C14</f>
        <v>3294</v>
      </c>
      <c r="D69" s="40">
        <f>+D4+D8+D6+D10+D13+D14</f>
        <v>5335</v>
      </c>
      <c r="E69" s="40">
        <f>+E4+E8+E6+E10+E13+E14</f>
        <v>0</v>
      </c>
      <c r="F69" s="40">
        <f>+F4+F8+F6+F10+F13+F14</f>
        <v>5800</v>
      </c>
      <c r="G69" s="40">
        <f>+G4+G5+G6+G7+G8+G9+G10+G11+G12+G13+G14</f>
        <v>3162</v>
      </c>
      <c r="H69" s="40">
        <f t="shared" ref="H69:M69" si="8">+H4+H5+H6+H7+H8+H9+H10+H11+H12+H13+H14</f>
        <v>2960</v>
      </c>
      <c r="I69" s="40">
        <f t="shared" si="8"/>
        <v>2900</v>
      </c>
      <c r="J69" s="40">
        <f t="shared" si="8"/>
        <v>3000</v>
      </c>
      <c r="K69" s="40">
        <f t="shared" si="8"/>
        <v>3120</v>
      </c>
      <c r="L69" s="40">
        <f t="shared" si="8"/>
        <v>2840</v>
      </c>
      <c r="M69" s="40">
        <f t="shared" si="8"/>
        <v>3080</v>
      </c>
      <c r="N69" s="40">
        <f>SUM(B69:M69)</f>
        <v>39991</v>
      </c>
    </row>
    <row r="70" spans="1:14" ht="16.2" x14ac:dyDescent="0.25">
      <c r="A70" s="39" t="s">
        <v>177</v>
      </c>
      <c r="B70" s="40">
        <f t="shared" ref="B70:G70" si="9">+B20+B21+B27+B28</f>
        <v>2835</v>
      </c>
      <c r="C70" s="40">
        <f t="shared" si="9"/>
        <v>2794</v>
      </c>
      <c r="D70" s="40">
        <f t="shared" si="9"/>
        <v>3132</v>
      </c>
      <c r="E70" s="40">
        <f t="shared" si="9"/>
        <v>0</v>
      </c>
      <c r="F70" s="40">
        <f t="shared" si="9"/>
        <v>1155</v>
      </c>
      <c r="G70" s="40">
        <f t="shared" si="9"/>
        <v>2707</v>
      </c>
      <c r="H70" s="40">
        <f t="shared" ref="H70:M70" si="10">+H20+H21+H27+H28</f>
        <v>4038</v>
      </c>
      <c r="I70" s="40">
        <f t="shared" si="10"/>
        <v>3849</v>
      </c>
      <c r="J70" s="40">
        <f t="shared" si="10"/>
        <v>3371</v>
      </c>
      <c r="K70" s="40">
        <f t="shared" si="10"/>
        <v>2967</v>
      </c>
      <c r="L70" s="40">
        <f t="shared" si="10"/>
        <v>2925</v>
      </c>
      <c r="M70" s="40">
        <f t="shared" si="10"/>
        <v>3105</v>
      </c>
      <c r="N70" s="40">
        <f t="shared" ref="N70:N75" si="11">SUM(B70:M70)</f>
        <v>32878</v>
      </c>
    </row>
    <row r="71" spans="1:14" ht="16.2" x14ac:dyDescent="0.25">
      <c r="A71" s="33" t="s">
        <v>178</v>
      </c>
      <c r="B71" s="40">
        <f t="shared" ref="B71:G71" si="12">+B23+B24+B31+B32</f>
        <v>5</v>
      </c>
      <c r="C71" s="40">
        <f t="shared" si="12"/>
        <v>6</v>
      </c>
      <c r="D71" s="40">
        <f t="shared" si="12"/>
        <v>13</v>
      </c>
      <c r="E71" s="40">
        <f t="shared" si="12"/>
        <v>0</v>
      </c>
      <c r="F71" s="40">
        <f t="shared" si="12"/>
        <v>18</v>
      </c>
      <c r="G71" s="40">
        <f t="shared" si="12"/>
        <v>44</v>
      </c>
      <c r="H71" s="40">
        <f t="shared" ref="H71:M71" si="13">+H23+H24+H31+H32</f>
        <v>78</v>
      </c>
      <c r="I71" s="40">
        <f t="shared" si="13"/>
        <v>59</v>
      </c>
      <c r="J71" s="40">
        <f t="shared" si="13"/>
        <v>84</v>
      </c>
      <c r="K71" s="40">
        <f t="shared" si="13"/>
        <v>17</v>
      </c>
      <c r="L71" s="40">
        <f t="shared" si="13"/>
        <v>4</v>
      </c>
      <c r="M71" s="40">
        <f t="shared" si="13"/>
        <v>4</v>
      </c>
      <c r="N71" s="40">
        <f t="shared" si="11"/>
        <v>332</v>
      </c>
    </row>
    <row r="72" spans="1:14" ht="16.2" x14ac:dyDescent="0.25">
      <c r="A72" s="33" t="s">
        <v>180</v>
      </c>
      <c r="B72" s="40">
        <f t="shared" ref="B72:G72" si="14">+B37+B38+B39+B40+B41+B42+B43+B44+B45+B46+B47+B48+B49+B50+B51+B52+B53+B54</f>
        <v>311</v>
      </c>
      <c r="C72" s="40">
        <f t="shared" si="14"/>
        <v>311</v>
      </c>
      <c r="D72" s="40">
        <f t="shared" si="14"/>
        <v>536</v>
      </c>
      <c r="E72" s="40">
        <f t="shared" si="14"/>
        <v>0</v>
      </c>
      <c r="F72" s="40">
        <f t="shared" si="14"/>
        <v>134</v>
      </c>
      <c r="G72" s="40">
        <f t="shared" si="14"/>
        <v>480</v>
      </c>
      <c r="H72" s="40">
        <f t="shared" ref="H72:M72" si="15">+H37+H38+H39+H40+H41+H42+H43+H44+H45+H46+H47+H48+H49+H50+H51+H52+H53+H54</f>
        <v>646</v>
      </c>
      <c r="I72" s="40">
        <f t="shared" si="15"/>
        <v>576</v>
      </c>
      <c r="J72" s="40">
        <f t="shared" si="15"/>
        <v>542</v>
      </c>
      <c r="K72" s="40">
        <f t="shared" si="15"/>
        <v>489</v>
      </c>
      <c r="L72" s="40">
        <f t="shared" si="15"/>
        <v>389</v>
      </c>
      <c r="M72" s="40">
        <f t="shared" si="15"/>
        <v>322</v>
      </c>
      <c r="N72" s="40">
        <f t="shared" si="11"/>
        <v>4736</v>
      </c>
    </row>
    <row r="73" spans="1:14" ht="16.2" x14ac:dyDescent="0.25">
      <c r="A73" s="33" t="s">
        <v>157</v>
      </c>
      <c r="B73" s="40">
        <f t="shared" ref="B73:G73" si="16">+B12+B17+B34</f>
        <v>5044</v>
      </c>
      <c r="C73" s="40">
        <f t="shared" si="16"/>
        <v>4069</v>
      </c>
      <c r="D73" s="40">
        <f t="shared" si="16"/>
        <v>5450</v>
      </c>
      <c r="E73" s="40">
        <f t="shared" si="16"/>
        <v>0</v>
      </c>
      <c r="F73" s="40">
        <f t="shared" si="16"/>
        <v>8450</v>
      </c>
      <c r="G73" s="40">
        <f t="shared" si="16"/>
        <v>2526</v>
      </c>
      <c r="H73" s="40">
        <f t="shared" ref="H73:M73" si="17">+H12+H17+H34</f>
        <v>2775</v>
      </c>
      <c r="I73" s="40">
        <f t="shared" si="17"/>
        <v>2750</v>
      </c>
      <c r="J73" s="40">
        <f t="shared" si="17"/>
        <v>2775</v>
      </c>
      <c r="K73" s="40">
        <f t="shared" si="17"/>
        <v>2800</v>
      </c>
      <c r="L73" s="40">
        <f t="shared" si="17"/>
        <v>2725</v>
      </c>
      <c r="M73" s="40">
        <f t="shared" si="17"/>
        <v>2550</v>
      </c>
      <c r="N73" s="40">
        <f t="shared" si="11"/>
        <v>41914</v>
      </c>
    </row>
    <row r="74" spans="1:14" ht="16.2" x14ac:dyDescent="0.25">
      <c r="A74" s="33" t="s">
        <v>181</v>
      </c>
      <c r="B74" s="40">
        <f t="shared" ref="B74:G74" si="18">+B18+B19+B29+B30</f>
        <v>2747</v>
      </c>
      <c r="C74" s="40">
        <f t="shared" si="18"/>
        <v>2738</v>
      </c>
      <c r="D74" s="40">
        <f t="shared" si="18"/>
        <v>3390</v>
      </c>
      <c r="E74" s="40">
        <f t="shared" si="18"/>
        <v>0</v>
      </c>
      <c r="F74" s="40">
        <f t="shared" si="18"/>
        <v>1677</v>
      </c>
      <c r="G74" s="40">
        <f t="shared" si="18"/>
        <v>3939</v>
      </c>
      <c r="H74" s="40">
        <f t="shared" ref="H74:M74" si="19">+H18+H19+H29+H30</f>
        <v>7576</v>
      </c>
      <c r="I74" s="40">
        <f t="shared" si="19"/>
        <v>6408</v>
      </c>
      <c r="J74" s="40">
        <f t="shared" si="19"/>
        <v>4550</v>
      </c>
      <c r="K74" s="40">
        <f t="shared" si="19"/>
        <v>3096</v>
      </c>
      <c r="L74" s="40">
        <f t="shared" si="19"/>
        <v>2744</v>
      </c>
      <c r="M74" s="40">
        <f t="shared" si="19"/>
        <v>2905</v>
      </c>
      <c r="N74" s="40">
        <f t="shared" si="11"/>
        <v>41770</v>
      </c>
    </row>
    <row r="75" spans="1:14" ht="16.2" x14ac:dyDescent="0.25">
      <c r="A75" s="33" t="s">
        <v>182</v>
      </c>
      <c r="B75" s="40">
        <f>+B15+B16+B35+B36</f>
        <v>45</v>
      </c>
      <c r="C75" s="40">
        <f t="shared" ref="C75:G75" si="20">+C15+C16+C35+C36</f>
        <v>44</v>
      </c>
      <c r="D75" s="40">
        <f t="shared" si="20"/>
        <v>57</v>
      </c>
      <c r="E75" s="40">
        <f t="shared" si="20"/>
        <v>0</v>
      </c>
      <c r="F75" s="40">
        <f t="shared" si="20"/>
        <v>86</v>
      </c>
      <c r="G75" s="40">
        <f t="shared" si="20"/>
        <v>248</v>
      </c>
      <c r="H75" s="40">
        <f t="shared" ref="H75:M75" si="21">+H15+H16+H35+H36</f>
        <v>394</v>
      </c>
      <c r="I75" s="40">
        <f t="shared" si="21"/>
        <v>456</v>
      </c>
      <c r="J75" s="40">
        <f t="shared" si="21"/>
        <v>303</v>
      </c>
      <c r="K75" s="40">
        <f t="shared" si="21"/>
        <v>86</v>
      </c>
      <c r="L75" s="40">
        <f t="shared" si="21"/>
        <v>42</v>
      </c>
      <c r="M75" s="40">
        <f t="shared" si="21"/>
        <v>50</v>
      </c>
      <c r="N75" s="40">
        <f t="shared" si="11"/>
        <v>1811</v>
      </c>
    </row>
  </sheetData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3"/>
  <sheetViews>
    <sheetView topLeftCell="B1" workbookViewId="0">
      <selection activeCell="I40" sqref="I40"/>
    </sheetView>
  </sheetViews>
  <sheetFormatPr defaultColWidth="8.75" defaultRowHeight="13.2" x14ac:dyDescent="0.25"/>
  <cols>
    <col min="1" max="1" width="25.9140625" style="42" bestFit="1" customWidth="1"/>
    <col min="2" max="16384" width="8.75" style="42"/>
  </cols>
  <sheetData>
    <row r="1" spans="1:15" x14ac:dyDescent="0.25">
      <c r="B1" s="43">
        <v>1997</v>
      </c>
      <c r="C1" s="43">
        <v>1998</v>
      </c>
      <c r="D1" s="43">
        <v>1999</v>
      </c>
      <c r="E1" s="43">
        <v>2000</v>
      </c>
      <c r="F1" s="43">
        <v>2001</v>
      </c>
      <c r="G1" s="43">
        <v>2002</v>
      </c>
      <c r="H1" s="43">
        <v>2003</v>
      </c>
      <c r="I1" s="43">
        <v>2004</v>
      </c>
      <c r="J1" s="43">
        <v>2005</v>
      </c>
      <c r="K1" s="43">
        <v>2006</v>
      </c>
      <c r="L1" s="42">
        <v>2007</v>
      </c>
      <c r="M1" s="42">
        <v>2008</v>
      </c>
      <c r="N1" s="42">
        <v>2009</v>
      </c>
      <c r="O1" s="42">
        <v>2010</v>
      </c>
    </row>
    <row r="2" spans="1:15" x14ac:dyDescent="0.25">
      <c r="A2" s="42" t="s">
        <v>102</v>
      </c>
      <c r="B2" s="44">
        <f>+'1997'!N31</f>
        <v>102336</v>
      </c>
      <c r="C2" s="44">
        <f>+'1998'!N31</f>
        <v>102578</v>
      </c>
      <c r="D2" s="44">
        <f>+'1999'!N31</f>
        <v>99332</v>
      </c>
      <c r="E2" s="44">
        <f>+'2000'!N31</f>
        <v>106548</v>
      </c>
      <c r="F2" s="44">
        <f>+'2001'!N31</f>
        <v>108115</v>
      </c>
      <c r="G2" s="44">
        <f>+'2002'!N31</f>
        <v>109981</v>
      </c>
      <c r="H2" s="44">
        <f>+'2003'!N33</f>
        <v>104979</v>
      </c>
      <c r="I2" s="44">
        <f>+'2004 New'!N35+'2004'!N33</f>
        <v>102631</v>
      </c>
      <c r="J2" s="44">
        <f>+'2005'!N42</f>
        <v>80319</v>
      </c>
      <c r="K2" s="44">
        <f>71455/9*12</f>
        <v>95273.333333333328</v>
      </c>
      <c r="L2" s="42">
        <f>'2007'!N48</f>
        <v>94705</v>
      </c>
      <c r="M2" s="42">
        <f>'2008'!N63</f>
        <v>89112</v>
      </c>
      <c r="N2" s="42">
        <f>'2009'!N57</f>
        <v>95250</v>
      </c>
      <c r="O2" s="42">
        <f>'2010'!N57</f>
        <v>90675</v>
      </c>
    </row>
    <row r="3" spans="1:15" x14ac:dyDescent="0.25">
      <c r="A3" s="42" t="s">
        <v>103</v>
      </c>
      <c r="B3" s="44">
        <f>+'1997'!N35</f>
        <v>87139</v>
      </c>
      <c r="C3" s="44">
        <f>+'1998'!N35</f>
        <v>85900</v>
      </c>
      <c r="D3" s="44">
        <f>+'1999'!N35</f>
        <v>87607</v>
      </c>
      <c r="E3" s="44">
        <f>+'2000'!N35</f>
        <v>86862</v>
      </c>
      <c r="F3" s="44">
        <f>+'2001'!N35</f>
        <v>91005</v>
      </c>
      <c r="G3" s="44">
        <f>+'2002'!N35</f>
        <v>92633</v>
      </c>
      <c r="H3" s="44">
        <f>+'2003'!N37</f>
        <v>95748</v>
      </c>
      <c r="I3" s="44">
        <f>+'2004'!N37+'2004 New'!N38</f>
        <v>90782</v>
      </c>
      <c r="J3" s="44">
        <f>+'2005'!N45</f>
        <v>96844</v>
      </c>
      <c r="K3" s="44">
        <f>+'2006'!N50</f>
        <v>89788</v>
      </c>
      <c r="L3" s="42">
        <f>+'2007'!N51</f>
        <v>88277</v>
      </c>
      <c r="M3" s="42">
        <f>+'2008'!N66</f>
        <v>88165</v>
      </c>
      <c r="N3" s="42">
        <f>+'2009'!N60</f>
        <v>100627</v>
      </c>
      <c r="O3" s="42">
        <f>+'2010'!N60</f>
        <v>98269</v>
      </c>
    </row>
  </sheetData>
  <phoneticPr fontId="13" type="noConversion"/>
  <pageMargins left="0.75" right="0.75" top="1" bottom="1" header="0.5" footer="0.5"/>
  <pageSetup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6"/>
  <sheetViews>
    <sheetView workbookViewId="0">
      <selection activeCell="E3" sqref="E3"/>
    </sheetView>
  </sheetViews>
  <sheetFormatPr defaultRowHeight="15" x14ac:dyDescent="0.25"/>
  <cols>
    <col min="1" max="1" width="12.25" style="60" customWidth="1"/>
    <col min="2" max="2" width="1.9140625" customWidth="1"/>
    <col min="3" max="3" width="15.75" style="42" customWidth="1"/>
    <col min="4" max="4" width="1.9140625" style="42" customWidth="1"/>
    <col min="5" max="14" width="15.75" style="42" customWidth="1"/>
  </cols>
  <sheetData>
    <row r="1" spans="1:6" x14ac:dyDescent="0.25">
      <c r="C1" s="43" t="s">
        <v>176</v>
      </c>
      <c r="D1" s="43"/>
      <c r="E1" s="43" t="s">
        <v>173</v>
      </c>
      <c r="F1" s="43" t="s">
        <v>174</v>
      </c>
    </row>
    <row r="3" spans="1:6" x14ac:dyDescent="0.25">
      <c r="A3" s="64">
        <v>40179</v>
      </c>
      <c r="C3" s="61">
        <v>13417</v>
      </c>
      <c r="E3" s="62">
        <f>'2010'!B58</f>
        <v>13860</v>
      </c>
      <c r="F3" s="61">
        <f t="shared" ref="F3:F14" si="0">E3-C3</f>
        <v>443</v>
      </c>
    </row>
    <row r="4" spans="1:6" x14ac:dyDescent="0.25">
      <c r="A4" s="64">
        <v>40210</v>
      </c>
      <c r="C4" s="61">
        <v>12717</v>
      </c>
      <c r="E4" s="62">
        <f>'2010'!C58</f>
        <v>11840</v>
      </c>
      <c r="F4" s="61">
        <f t="shared" si="0"/>
        <v>-877</v>
      </c>
    </row>
    <row r="5" spans="1:6" x14ac:dyDescent="0.25">
      <c r="A5" s="64">
        <v>40238</v>
      </c>
      <c r="C5" s="61">
        <v>14342</v>
      </c>
      <c r="E5" s="62">
        <f>'2010'!D58</f>
        <v>14717</v>
      </c>
      <c r="F5" s="61">
        <f t="shared" si="0"/>
        <v>375</v>
      </c>
    </row>
    <row r="6" spans="1:6" x14ac:dyDescent="0.25">
      <c r="A6" s="64">
        <v>40269</v>
      </c>
      <c r="C6" s="61">
        <v>14808</v>
      </c>
      <c r="E6" s="62">
        <f>'2010'!E58</f>
        <v>15102</v>
      </c>
      <c r="F6" s="61">
        <f t="shared" si="0"/>
        <v>294</v>
      </c>
    </row>
    <row r="7" spans="1:6" x14ac:dyDescent="0.25">
      <c r="A7" s="64">
        <v>40299</v>
      </c>
      <c r="C7" s="61">
        <v>16680</v>
      </c>
      <c r="E7" s="62">
        <f>'2010'!F58</f>
        <v>18153</v>
      </c>
      <c r="F7" s="61">
        <f t="shared" si="0"/>
        <v>1473</v>
      </c>
    </row>
    <row r="8" spans="1:6" x14ac:dyDescent="0.25">
      <c r="A8" s="64">
        <v>40330</v>
      </c>
      <c r="C8" s="61">
        <v>17190</v>
      </c>
      <c r="E8" s="62">
        <f>'2010'!G58</f>
        <v>17918</v>
      </c>
      <c r="F8" s="61">
        <f t="shared" si="0"/>
        <v>728</v>
      </c>
    </row>
    <row r="9" spans="1:6" x14ac:dyDescent="0.25">
      <c r="A9" s="64">
        <v>40360</v>
      </c>
      <c r="C9" s="61">
        <v>22092</v>
      </c>
      <c r="E9" s="62">
        <f>'2010'!H58</f>
        <v>22655</v>
      </c>
      <c r="F9" s="61">
        <f t="shared" si="0"/>
        <v>563</v>
      </c>
    </row>
    <row r="10" spans="1:6" x14ac:dyDescent="0.25">
      <c r="A10" s="64">
        <v>40391</v>
      </c>
      <c r="C10" s="61">
        <v>20984</v>
      </c>
      <c r="E10" s="62">
        <f>'2010'!I58</f>
        <v>21994</v>
      </c>
      <c r="F10" s="61">
        <f t="shared" si="0"/>
        <v>1010</v>
      </c>
    </row>
    <row r="11" spans="1:6" x14ac:dyDescent="0.25">
      <c r="A11" s="64">
        <v>40422</v>
      </c>
      <c r="C11" s="61">
        <v>17751</v>
      </c>
      <c r="E11" s="62">
        <f>'2010'!J58</f>
        <v>16102</v>
      </c>
      <c r="F11" s="61">
        <f t="shared" si="0"/>
        <v>-1649</v>
      </c>
    </row>
    <row r="12" spans="1:6" x14ac:dyDescent="0.25">
      <c r="A12" s="64">
        <v>40452</v>
      </c>
      <c r="C12" s="61">
        <v>13483</v>
      </c>
      <c r="E12" s="62">
        <f>'2010'!K58</f>
        <v>11797</v>
      </c>
      <c r="F12" s="61">
        <f t="shared" si="0"/>
        <v>-1686</v>
      </c>
    </row>
    <row r="13" spans="1:6" x14ac:dyDescent="0.25">
      <c r="A13" s="64">
        <v>40483</v>
      </c>
      <c r="C13" s="61">
        <v>13586</v>
      </c>
      <c r="E13" s="62">
        <f>'2010'!L58</f>
        <v>12198</v>
      </c>
      <c r="F13" s="61">
        <f t="shared" si="0"/>
        <v>-1388</v>
      </c>
    </row>
    <row r="14" spans="1:6" x14ac:dyDescent="0.25">
      <c r="A14" s="64">
        <v>40513</v>
      </c>
      <c r="C14" s="61">
        <v>13906</v>
      </c>
      <c r="E14" s="62">
        <f>'2010'!M58</f>
        <v>12648</v>
      </c>
      <c r="F14" s="61">
        <f t="shared" si="0"/>
        <v>-1258</v>
      </c>
    </row>
    <row r="15" spans="1:6" x14ac:dyDescent="0.25">
      <c r="E15" s="62"/>
      <c r="F15" s="61"/>
    </row>
    <row r="16" spans="1:6" x14ac:dyDescent="0.25">
      <c r="A16" s="63" t="s">
        <v>172</v>
      </c>
      <c r="C16" s="61">
        <f>SUM(C3:C14)</f>
        <v>190956</v>
      </c>
      <c r="E16" s="62">
        <f>SUM(E3:E15)</f>
        <v>188984</v>
      </c>
      <c r="F16" s="61">
        <f>E16-C16</f>
        <v>-1972</v>
      </c>
    </row>
  </sheetData>
  <phoneticPr fontId="13" type="noConversion"/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71"/>
  <sheetViews>
    <sheetView topLeftCell="A3" zoomScale="75" workbookViewId="0">
      <pane xSplit="1" ySplit="1" topLeftCell="M24" activePane="bottomRight" state="frozen"/>
      <selection activeCell="A3" sqref="A3"/>
      <selection pane="topRight" activeCell="B3" sqref="B3"/>
      <selection pane="bottomLeft" activeCell="A4" sqref="A4"/>
      <selection pane="bottomRight" activeCell="M71" sqref="M71"/>
    </sheetView>
  </sheetViews>
  <sheetFormatPr defaultRowHeight="15" x14ac:dyDescent="0.25"/>
  <cols>
    <col min="1" max="1" width="27" customWidth="1"/>
  </cols>
  <sheetData>
    <row r="1" spans="1:15" ht="18.600000000000001" x14ac:dyDescent="0.25">
      <c r="A1" s="48" t="s">
        <v>159</v>
      </c>
    </row>
    <row r="2" spans="1:15" x14ac:dyDescent="0.25">
      <c r="A2" s="49"/>
    </row>
    <row r="3" spans="1:15" ht="16.8" x14ac:dyDescent="0.25">
      <c r="A3" s="49"/>
      <c r="B3" s="47" t="s">
        <v>29</v>
      </c>
      <c r="C3" s="34" t="s">
        <v>30</v>
      </c>
      <c r="D3" s="34" t="s">
        <v>31</v>
      </c>
      <c r="E3" s="34" t="s">
        <v>32</v>
      </c>
      <c r="F3" s="34" t="s">
        <v>33</v>
      </c>
      <c r="G3" s="34" t="s">
        <v>34</v>
      </c>
      <c r="H3" s="34" t="s">
        <v>35</v>
      </c>
      <c r="I3" s="34" t="s">
        <v>36</v>
      </c>
      <c r="J3" s="34" t="s">
        <v>37</v>
      </c>
      <c r="K3" s="34" t="s">
        <v>38</v>
      </c>
      <c r="L3" s="34" t="s">
        <v>39</v>
      </c>
      <c r="M3" s="34" t="s">
        <v>40</v>
      </c>
      <c r="N3" s="34" t="s">
        <v>41</v>
      </c>
    </row>
    <row r="4" spans="1:15" ht="16.2" x14ac:dyDescent="0.25">
      <c r="A4" s="50" t="s">
        <v>128</v>
      </c>
      <c r="B4" s="52">
        <v>1750</v>
      </c>
      <c r="C4" s="52">
        <v>1520</v>
      </c>
      <c r="D4" s="52">
        <v>1670</v>
      </c>
      <c r="E4" s="52">
        <v>1900</v>
      </c>
      <c r="F4" s="52">
        <v>2200</v>
      </c>
      <c r="G4" s="52">
        <v>2610</v>
      </c>
      <c r="H4" s="52">
        <v>2460</v>
      </c>
      <c r="I4" s="52">
        <v>2190</v>
      </c>
      <c r="J4" s="52">
        <v>1910</v>
      </c>
      <c r="K4" s="52">
        <v>1040</v>
      </c>
      <c r="L4" s="52">
        <v>1550</v>
      </c>
      <c r="M4" s="52">
        <v>1340</v>
      </c>
      <c r="N4" s="52">
        <f t="shared" ref="N4:N33" si="0">SUM(B4:M4)</f>
        <v>22140</v>
      </c>
      <c r="O4">
        <f>+N4/10</f>
        <v>2214</v>
      </c>
    </row>
    <row r="5" spans="1:15" ht="16.2" x14ac:dyDescent="0.25">
      <c r="A5" s="50" t="s">
        <v>58</v>
      </c>
      <c r="B5" s="52">
        <v>10</v>
      </c>
      <c r="C5" s="52"/>
      <c r="D5" s="52">
        <v>30</v>
      </c>
      <c r="E5" s="52">
        <v>60</v>
      </c>
      <c r="F5" s="52">
        <v>70</v>
      </c>
      <c r="G5" s="52">
        <v>70</v>
      </c>
      <c r="H5" s="52">
        <v>80</v>
      </c>
      <c r="I5" s="52">
        <v>60</v>
      </c>
      <c r="J5" s="52">
        <v>10</v>
      </c>
      <c r="K5" s="52">
        <v>20</v>
      </c>
      <c r="L5" s="52">
        <v>0</v>
      </c>
      <c r="M5" s="52"/>
      <c r="N5" s="52">
        <f t="shared" si="0"/>
        <v>410</v>
      </c>
      <c r="O5">
        <f>+N5/10</f>
        <v>41</v>
      </c>
    </row>
    <row r="6" spans="1:15" ht="16.2" x14ac:dyDescent="0.25">
      <c r="A6" s="50" t="s">
        <v>129</v>
      </c>
      <c r="B6" s="52">
        <v>1510</v>
      </c>
      <c r="C6" s="52">
        <v>1240</v>
      </c>
      <c r="D6" s="52">
        <v>1430</v>
      </c>
      <c r="E6" s="52">
        <v>1690</v>
      </c>
      <c r="F6" s="52">
        <v>2000</v>
      </c>
      <c r="G6" s="52">
        <v>1950</v>
      </c>
      <c r="H6" s="52">
        <v>2010</v>
      </c>
      <c r="I6" s="52">
        <v>1750</v>
      </c>
      <c r="J6" s="52">
        <v>1350</v>
      </c>
      <c r="K6" s="52">
        <v>710</v>
      </c>
      <c r="L6" s="52">
        <v>1100</v>
      </c>
      <c r="M6" s="52">
        <v>1090</v>
      </c>
      <c r="N6" s="52">
        <f t="shared" si="0"/>
        <v>17830</v>
      </c>
      <c r="O6">
        <f>+N6/10</f>
        <v>1783</v>
      </c>
    </row>
    <row r="7" spans="1:15" ht="16.2" x14ac:dyDescent="0.25">
      <c r="A7" s="50" t="s">
        <v>130</v>
      </c>
      <c r="B7" s="52">
        <v>10</v>
      </c>
      <c r="C7" s="52">
        <v>20</v>
      </c>
      <c r="D7" s="52">
        <v>10</v>
      </c>
      <c r="E7" s="52"/>
      <c r="F7" s="52">
        <v>10</v>
      </c>
      <c r="G7" s="52">
        <v>0</v>
      </c>
      <c r="H7" s="52">
        <v>20</v>
      </c>
      <c r="I7" s="52">
        <v>50</v>
      </c>
      <c r="J7" s="52">
        <v>10</v>
      </c>
      <c r="K7" s="52"/>
      <c r="L7" s="52">
        <v>0</v>
      </c>
      <c r="M7" s="52"/>
      <c r="N7" s="52">
        <f t="shared" si="0"/>
        <v>130</v>
      </c>
      <c r="O7">
        <f>+N7/10</f>
        <v>13</v>
      </c>
    </row>
    <row r="8" spans="1:15" ht="16.2" x14ac:dyDescent="0.25">
      <c r="A8" s="50" t="s">
        <v>131</v>
      </c>
      <c r="B8" s="52">
        <v>161</v>
      </c>
      <c r="C8" s="52">
        <v>253</v>
      </c>
      <c r="D8" s="52">
        <v>138</v>
      </c>
      <c r="E8" s="52">
        <v>161</v>
      </c>
      <c r="F8" s="52">
        <v>92</v>
      </c>
      <c r="G8" s="52">
        <v>184</v>
      </c>
      <c r="H8" s="52">
        <v>161</v>
      </c>
      <c r="I8" s="52">
        <v>253</v>
      </c>
      <c r="J8" s="52">
        <v>207</v>
      </c>
      <c r="K8" s="52">
        <v>138</v>
      </c>
      <c r="L8" s="52">
        <v>138</v>
      </c>
      <c r="M8" s="52">
        <v>92</v>
      </c>
      <c r="N8" s="52">
        <f t="shared" si="0"/>
        <v>1978</v>
      </c>
      <c r="O8">
        <f>+N8/23</f>
        <v>86</v>
      </c>
    </row>
    <row r="9" spans="1:15" ht="16.2" x14ac:dyDescent="0.25">
      <c r="A9" s="50" t="s">
        <v>132</v>
      </c>
      <c r="B9" s="52">
        <v>253</v>
      </c>
      <c r="C9" s="52">
        <v>230</v>
      </c>
      <c r="D9" s="52">
        <v>368</v>
      </c>
      <c r="E9" s="52">
        <v>253</v>
      </c>
      <c r="F9" s="52">
        <v>230</v>
      </c>
      <c r="G9" s="52">
        <v>276</v>
      </c>
      <c r="H9" s="52">
        <v>161</v>
      </c>
      <c r="I9" s="52">
        <v>276</v>
      </c>
      <c r="J9" s="52">
        <v>92</v>
      </c>
      <c r="K9" s="52">
        <v>115</v>
      </c>
      <c r="L9" s="52">
        <v>138</v>
      </c>
      <c r="M9" s="52">
        <v>276</v>
      </c>
      <c r="N9" s="52">
        <f t="shared" si="0"/>
        <v>2668</v>
      </c>
      <c r="O9">
        <f>+N9/23</f>
        <v>116</v>
      </c>
    </row>
    <row r="10" spans="1:15" ht="16.2" x14ac:dyDescent="0.25">
      <c r="A10" s="50" t="s">
        <v>133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>
        <v>0</v>
      </c>
      <c r="M10" s="52"/>
      <c r="N10" s="52">
        <f t="shared" si="0"/>
        <v>0</v>
      </c>
    </row>
    <row r="11" spans="1:15" ht="16.2" x14ac:dyDescent="0.25">
      <c r="A11" s="50" t="s">
        <v>134</v>
      </c>
      <c r="B11" s="52"/>
      <c r="C11" s="52"/>
      <c r="D11" s="52"/>
      <c r="E11" s="52"/>
      <c r="F11" s="52">
        <v>47</v>
      </c>
      <c r="G11" s="52">
        <v>166</v>
      </c>
      <c r="H11" s="52">
        <v>363</v>
      </c>
      <c r="I11" s="52">
        <v>301</v>
      </c>
      <c r="J11" s="52">
        <v>89</v>
      </c>
      <c r="K11" s="52"/>
      <c r="L11" s="52">
        <v>0</v>
      </c>
      <c r="M11" s="52"/>
      <c r="N11" s="52">
        <f t="shared" si="0"/>
        <v>966</v>
      </c>
      <c r="O11">
        <f>+N11</f>
        <v>966</v>
      </c>
    </row>
    <row r="12" spans="1:15" ht="16.2" x14ac:dyDescent="0.25">
      <c r="A12" s="50" t="s">
        <v>135</v>
      </c>
      <c r="B12" s="52">
        <v>71</v>
      </c>
      <c r="C12" s="52">
        <v>46</v>
      </c>
      <c r="D12" s="52">
        <v>76</v>
      </c>
      <c r="E12" s="52">
        <v>98</v>
      </c>
      <c r="F12" s="52">
        <v>103</v>
      </c>
      <c r="G12" s="52"/>
      <c r="H12" s="52"/>
      <c r="I12" s="52"/>
      <c r="J12" s="52">
        <v>91</v>
      </c>
      <c r="K12" s="52">
        <v>123</v>
      </c>
      <c r="L12" s="52">
        <v>43</v>
      </c>
      <c r="M12" s="52">
        <v>47</v>
      </c>
      <c r="N12" s="52">
        <f t="shared" si="0"/>
        <v>698</v>
      </c>
      <c r="O12">
        <f>+N12</f>
        <v>698</v>
      </c>
    </row>
    <row r="13" spans="1:15" ht="16.2" x14ac:dyDescent="0.25">
      <c r="A13" s="50" t="s">
        <v>60</v>
      </c>
      <c r="B13" s="52">
        <v>1825</v>
      </c>
      <c r="C13" s="52">
        <v>1400</v>
      </c>
      <c r="D13" s="52">
        <v>1875</v>
      </c>
      <c r="E13" s="52">
        <v>1650</v>
      </c>
      <c r="F13" s="52">
        <v>2400</v>
      </c>
      <c r="G13" s="52">
        <v>2650</v>
      </c>
      <c r="H13" s="52">
        <v>2450</v>
      </c>
      <c r="I13" s="52">
        <v>3025</v>
      </c>
      <c r="J13" s="52">
        <v>1825</v>
      </c>
      <c r="K13" s="52">
        <v>2000</v>
      </c>
      <c r="L13" s="52">
        <v>1475</v>
      </c>
      <c r="M13" s="52">
        <v>1125</v>
      </c>
      <c r="N13" s="52">
        <f t="shared" si="0"/>
        <v>23700</v>
      </c>
      <c r="O13">
        <f>+N13/25</f>
        <v>948</v>
      </c>
    </row>
    <row r="14" spans="1:15" ht="16.2" x14ac:dyDescent="0.25">
      <c r="A14" s="50" t="s">
        <v>111</v>
      </c>
      <c r="B14" s="52"/>
      <c r="C14" s="52"/>
      <c r="D14" s="52"/>
      <c r="E14" s="52"/>
      <c r="F14" s="52">
        <v>1261</v>
      </c>
      <c r="G14" s="52">
        <v>2799</v>
      </c>
      <c r="H14" s="52">
        <v>4879</v>
      </c>
      <c r="I14" s="52">
        <v>4470</v>
      </c>
      <c r="J14" s="52">
        <v>1493</v>
      </c>
      <c r="K14" s="52"/>
      <c r="L14" s="52">
        <v>0</v>
      </c>
      <c r="M14" s="52"/>
      <c r="N14" s="52">
        <f t="shared" si="0"/>
        <v>14902</v>
      </c>
      <c r="O14">
        <f>+N14</f>
        <v>14902</v>
      </c>
    </row>
    <row r="15" spans="1:15" ht="16.2" x14ac:dyDescent="0.25">
      <c r="A15" s="50" t="s">
        <v>136</v>
      </c>
      <c r="B15" s="52">
        <v>2374</v>
      </c>
      <c r="C15" s="52">
        <v>2163</v>
      </c>
      <c r="D15" s="52">
        <v>2612</v>
      </c>
      <c r="E15" s="52">
        <v>2587</v>
      </c>
      <c r="F15" s="52">
        <v>1899</v>
      </c>
      <c r="G15" s="52"/>
      <c r="H15" s="52"/>
      <c r="I15" s="52"/>
      <c r="J15" s="52">
        <v>1801</v>
      </c>
      <c r="K15" s="52">
        <v>3212</v>
      </c>
      <c r="L15" s="52">
        <v>2373</v>
      </c>
      <c r="M15" s="52">
        <v>2704</v>
      </c>
      <c r="N15" s="52">
        <f t="shared" si="0"/>
        <v>21725</v>
      </c>
      <c r="O15">
        <f>+N15</f>
        <v>21725</v>
      </c>
    </row>
    <row r="16" spans="1:15" ht="16.2" x14ac:dyDescent="0.25">
      <c r="A16" s="50" t="s">
        <v>127</v>
      </c>
      <c r="B16" s="52"/>
      <c r="C16" s="52"/>
      <c r="D16" s="52"/>
      <c r="E16" s="52"/>
      <c r="F16" s="52">
        <v>1267</v>
      </c>
      <c r="G16" s="52">
        <v>2480</v>
      </c>
      <c r="H16" s="52">
        <v>3657</v>
      </c>
      <c r="I16" s="52">
        <v>3450</v>
      </c>
      <c r="J16" s="52">
        <v>1117</v>
      </c>
      <c r="K16" s="52"/>
      <c r="L16" s="52">
        <v>0</v>
      </c>
      <c r="M16" s="52"/>
      <c r="N16" s="52">
        <f t="shared" si="0"/>
        <v>11971</v>
      </c>
      <c r="O16">
        <f>+N16</f>
        <v>11971</v>
      </c>
    </row>
    <row r="17" spans="1:15" ht="16.2" x14ac:dyDescent="0.25">
      <c r="A17" s="50" t="s">
        <v>137</v>
      </c>
      <c r="B17" s="52">
        <v>2642</v>
      </c>
      <c r="C17" s="52">
        <v>2587</v>
      </c>
      <c r="D17" s="52">
        <v>2904</v>
      </c>
      <c r="E17" s="52">
        <v>3121</v>
      </c>
      <c r="F17" s="52">
        <v>1920</v>
      </c>
      <c r="G17" s="52"/>
      <c r="H17" s="52"/>
      <c r="I17" s="52"/>
      <c r="J17" s="52">
        <v>1808</v>
      </c>
      <c r="K17" s="52">
        <f>169+1246</f>
        <v>1415</v>
      </c>
      <c r="L17" s="52">
        <v>2652</v>
      </c>
      <c r="M17" s="52">
        <v>2989</v>
      </c>
      <c r="N17" s="52">
        <f t="shared" si="0"/>
        <v>22038</v>
      </c>
      <c r="O17">
        <f>+N17</f>
        <v>22038</v>
      </c>
    </row>
    <row r="18" spans="1:15" ht="16.2" x14ac:dyDescent="0.25">
      <c r="A18" s="50" t="s">
        <v>62</v>
      </c>
      <c r="B18" s="52">
        <v>1</v>
      </c>
      <c r="C18" s="52"/>
      <c r="D18" s="52"/>
      <c r="E18" s="52"/>
      <c r="F18" s="52">
        <v>1</v>
      </c>
      <c r="G18" s="52">
        <v>12</v>
      </c>
      <c r="H18" s="52">
        <v>5</v>
      </c>
      <c r="I18" s="52">
        <v>7</v>
      </c>
      <c r="J18" s="52">
        <v>7</v>
      </c>
      <c r="K18" s="52"/>
      <c r="L18" s="52">
        <v>5</v>
      </c>
      <c r="M18" s="52">
        <v>2</v>
      </c>
      <c r="N18" s="52">
        <f t="shared" si="0"/>
        <v>40</v>
      </c>
    </row>
    <row r="19" spans="1:15" ht="16.2" x14ac:dyDescent="0.25">
      <c r="A19" s="50" t="s">
        <v>138</v>
      </c>
      <c r="B19" s="52"/>
      <c r="C19" s="52"/>
      <c r="D19" s="52"/>
      <c r="E19" s="52"/>
      <c r="F19" s="52">
        <v>18</v>
      </c>
      <c r="G19" s="52">
        <v>57</v>
      </c>
      <c r="H19" s="52">
        <v>90</v>
      </c>
      <c r="I19" s="52">
        <v>71</v>
      </c>
      <c r="J19" s="52">
        <v>20</v>
      </c>
      <c r="K19" s="52"/>
      <c r="L19" s="52">
        <v>0</v>
      </c>
      <c r="M19" s="52"/>
      <c r="N19" s="52">
        <f t="shared" si="0"/>
        <v>256</v>
      </c>
      <c r="O19">
        <f>+N19</f>
        <v>256</v>
      </c>
    </row>
    <row r="20" spans="1:15" ht="16.2" x14ac:dyDescent="0.25">
      <c r="A20" s="50" t="s">
        <v>139</v>
      </c>
      <c r="B20" s="52">
        <v>28</v>
      </c>
      <c r="C20" s="52">
        <v>49</v>
      </c>
      <c r="D20" s="52">
        <v>68</v>
      </c>
      <c r="E20" s="52">
        <v>49</v>
      </c>
      <c r="F20" s="52">
        <v>38</v>
      </c>
      <c r="G20" s="52"/>
      <c r="H20" s="52"/>
      <c r="I20" s="52"/>
      <c r="J20" s="52">
        <v>45</v>
      </c>
      <c r="K20" s="52">
        <v>29</v>
      </c>
      <c r="L20" s="52">
        <v>10</v>
      </c>
      <c r="M20" s="52">
        <v>11</v>
      </c>
      <c r="N20" s="52">
        <f t="shared" si="0"/>
        <v>327</v>
      </c>
      <c r="O20">
        <f>+N20</f>
        <v>327</v>
      </c>
    </row>
    <row r="21" spans="1:15" ht="16.2" x14ac:dyDescent="0.25">
      <c r="A21" s="50" t="s">
        <v>11</v>
      </c>
      <c r="B21" s="52">
        <v>19</v>
      </c>
      <c r="C21" s="52">
        <v>18</v>
      </c>
      <c r="D21" s="52">
        <v>20</v>
      </c>
      <c r="E21" s="52">
        <v>20</v>
      </c>
      <c r="F21" s="52">
        <v>20</v>
      </c>
      <c r="G21" s="52">
        <v>14</v>
      </c>
      <c r="H21" s="52"/>
      <c r="I21" s="52"/>
      <c r="J21" s="52">
        <v>17</v>
      </c>
      <c r="K21" s="52">
        <v>21</v>
      </c>
      <c r="L21" s="52">
        <v>19</v>
      </c>
      <c r="M21" s="52">
        <v>13</v>
      </c>
      <c r="N21" s="52">
        <f>SUM(B21:M21)</f>
        <v>181</v>
      </c>
    </row>
    <row r="22" spans="1:15" ht="16.2" x14ac:dyDescent="0.25">
      <c r="A22" s="50" t="s">
        <v>12</v>
      </c>
      <c r="B22" s="52"/>
      <c r="C22" s="52"/>
      <c r="D22" s="52">
        <v>1</v>
      </c>
      <c r="E22" s="52">
        <v>2</v>
      </c>
      <c r="F22" s="52">
        <v>1</v>
      </c>
      <c r="G22" s="52">
        <v>3</v>
      </c>
      <c r="H22" s="65">
        <v>6.5</v>
      </c>
      <c r="I22" s="52">
        <v>12</v>
      </c>
      <c r="J22" s="52">
        <v>65</v>
      </c>
      <c r="K22" s="52">
        <v>2</v>
      </c>
      <c r="L22" s="52">
        <v>18</v>
      </c>
      <c r="M22" s="52">
        <v>0</v>
      </c>
      <c r="N22" s="52">
        <f t="shared" si="0"/>
        <v>110.5</v>
      </c>
    </row>
    <row r="23" spans="1:15" ht="16.2" x14ac:dyDescent="0.25">
      <c r="A23" s="50" t="s">
        <v>145</v>
      </c>
      <c r="B23" s="52"/>
      <c r="C23" s="52"/>
      <c r="D23" s="52"/>
      <c r="E23" s="52"/>
      <c r="F23" s="52">
        <v>250</v>
      </c>
      <c r="G23" s="52">
        <v>477</v>
      </c>
      <c r="H23" s="52">
        <v>690</v>
      </c>
      <c r="I23" s="52">
        <v>633</v>
      </c>
      <c r="J23" s="52">
        <v>217</v>
      </c>
      <c r="K23" s="52"/>
      <c r="L23" s="52">
        <v>0</v>
      </c>
      <c r="M23" s="52"/>
      <c r="N23" s="52">
        <f>SUM(B23:M23)</f>
        <v>2267</v>
      </c>
      <c r="O23">
        <f t="shared" ref="O23:O28" si="1">+N23</f>
        <v>2267</v>
      </c>
    </row>
    <row r="24" spans="1:15" ht="16.2" x14ac:dyDescent="0.25">
      <c r="A24" s="50" t="s">
        <v>146</v>
      </c>
      <c r="B24" s="52">
        <v>421</v>
      </c>
      <c r="C24" s="52">
        <v>383</v>
      </c>
      <c r="D24" s="52">
        <v>471</v>
      </c>
      <c r="E24" s="52">
        <v>587</v>
      </c>
      <c r="F24" s="52">
        <v>409</v>
      </c>
      <c r="G24" s="52"/>
      <c r="H24" s="52"/>
      <c r="I24" s="52"/>
      <c r="J24" s="52">
        <v>350</v>
      </c>
      <c r="K24" s="52">
        <v>273</v>
      </c>
      <c r="L24" s="52">
        <v>519</v>
      </c>
      <c r="M24" s="52">
        <v>644</v>
      </c>
      <c r="N24" s="52">
        <f>SUM(B24:M24)</f>
        <v>4057</v>
      </c>
      <c r="O24">
        <f t="shared" si="1"/>
        <v>4057</v>
      </c>
    </row>
    <row r="25" spans="1:15" ht="16.2" x14ac:dyDescent="0.25">
      <c r="A25" s="50" t="s">
        <v>184</v>
      </c>
      <c r="B25" s="52"/>
      <c r="C25" s="52"/>
      <c r="D25" s="52"/>
      <c r="E25" s="52"/>
      <c r="F25" s="52">
        <v>659</v>
      </c>
      <c r="G25" s="52">
        <v>1534</v>
      </c>
      <c r="H25" s="52">
        <v>3037</v>
      </c>
      <c r="I25" s="52">
        <v>2672</v>
      </c>
      <c r="J25" s="52">
        <v>779</v>
      </c>
      <c r="K25" s="52"/>
      <c r="L25" s="52">
        <v>0</v>
      </c>
      <c r="M25" s="52"/>
      <c r="N25" s="52">
        <f>SUM(B25:M25)</f>
        <v>8681</v>
      </c>
      <c r="O25">
        <f t="shared" si="1"/>
        <v>8681</v>
      </c>
    </row>
    <row r="26" spans="1:15" ht="16.2" x14ac:dyDescent="0.25">
      <c r="A26" s="50" t="s">
        <v>183</v>
      </c>
      <c r="B26" s="52">
        <v>943</v>
      </c>
      <c r="C26" s="52">
        <v>882</v>
      </c>
      <c r="D26" s="52">
        <v>1064</v>
      </c>
      <c r="E26" s="52">
        <v>1274</v>
      </c>
      <c r="F26" s="52">
        <v>861</v>
      </c>
      <c r="G26" s="52"/>
      <c r="H26" s="52"/>
      <c r="I26" s="52"/>
      <c r="J26" s="52">
        <v>769</v>
      </c>
      <c r="K26" s="52">
        <v>1230</v>
      </c>
      <c r="L26" s="52">
        <v>993</v>
      </c>
      <c r="M26" s="52">
        <v>1281</v>
      </c>
      <c r="N26" s="52">
        <f>SUM(B26:M26)</f>
        <v>9297</v>
      </c>
      <c r="O26">
        <f t="shared" si="1"/>
        <v>9297</v>
      </c>
    </row>
    <row r="27" spans="1:15" ht="16.2" x14ac:dyDescent="0.25">
      <c r="A27" s="50" t="s">
        <v>140</v>
      </c>
      <c r="B27" s="52"/>
      <c r="C27" s="52"/>
      <c r="D27" s="52"/>
      <c r="E27" s="52"/>
      <c r="F27" s="52"/>
      <c r="G27" s="52">
        <v>3</v>
      </c>
      <c r="H27" s="52">
        <v>11</v>
      </c>
      <c r="I27" s="52">
        <v>12</v>
      </c>
      <c r="J27" s="52">
        <v>2</v>
      </c>
      <c r="K27" s="52"/>
      <c r="L27" s="52">
        <v>0</v>
      </c>
      <c r="M27" s="52"/>
      <c r="N27" s="52">
        <f t="shared" si="0"/>
        <v>28</v>
      </c>
      <c r="O27">
        <f t="shared" si="1"/>
        <v>28</v>
      </c>
    </row>
    <row r="28" spans="1:15" ht="16.2" x14ac:dyDescent="0.25">
      <c r="A28" s="50" t="s">
        <v>141</v>
      </c>
      <c r="B28" s="52">
        <v>1</v>
      </c>
      <c r="C28" s="52"/>
      <c r="D28" s="52">
        <v>2</v>
      </c>
      <c r="E28" s="52">
        <v>1</v>
      </c>
      <c r="F28" s="52">
        <v>5</v>
      </c>
      <c r="G28" s="52"/>
      <c r="H28" s="52"/>
      <c r="I28" s="52"/>
      <c r="J28" s="52"/>
      <c r="K28" s="52"/>
      <c r="L28" s="52">
        <v>0</v>
      </c>
      <c r="M28" s="52"/>
      <c r="N28" s="52">
        <f t="shared" si="0"/>
        <v>9</v>
      </c>
      <c r="O28">
        <f t="shared" si="1"/>
        <v>9</v>
      </c>
    </row>
    <row r="29" spans="1:15" ht="16.2" x14ac:dyDescent="0.25">
      <c r="A29" s="50" t="s">
        <v>91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>
        <v>0</v>
      </c>
      <c r="M29" s="52"/>
      <c r="N29" s="52">
        <f>SUM(B29:M29)</f>
        <v>0</v>
      </c>
    </row>
    <row r="30" spans="1:15" ht="16.2" x14ac:dyDescent="0.25">
      <c r="A30" s="50" t="s">
        <v>15</v>
      </c>
      <c r="B30" s="52">
        <v>1325</v>
      </c>
      <c r="C30" s="52">
        <v>650</v>
      </c>
      <c r="D30" s="52">
        <v>1500</v>
      </c>
      <c r="E30" s="52">
        <v>1150</v>
      </c>
      <c r="F30" s="52">
        <v>1925</v>
      </c>
      <c r="G30" s="52">
        <v>2050</v>
      </c>
      <c r="H30" s="52">
        <v>1825</v>
      </c>
      <c r="I30" s="52">
        <v>1875</v>
      </c>
      <c r="J30" s="52">
        <v>1225</v>
      </c>
      <c r="K30" s="52">
        <v>1175</v>
      </c>
      <c r="L30" s="52">
        <v>650</v>
      </c>
      <c r="M30" s="52">
        <v>575</v>
      </c>
      <c r="N30" s="52">
        <f>SUM(B30:M30)</f>
        <v>15925</v>
      </c>
      <c r="O30">
        <f>+N30/25</f>
        <v>637</v>
      </c>
    </row>
    <row r="31" spans="1:15" ht="16.2" x14ac:dyDescent="0.25">
      <c r="A31" s="50" t="s">
        <v>116</v>
      </c>
      <c r="B31" s="52"/>
      <c r="C31" s="52"/>
      <c r="D31" s="52"/>
      <c r="E31" s="52"/>
      <c r="F31" s="52">
        <v>3</v>
      </c>
      <c r="G31" s="52">
        <v>41</v>
      </c>
      <c r="H31" s="52">
        <v>85</v>
      </c>
      <c r="I31" s="52">
        <v>97</v>
      </c>
      <c r="J31" s="52">
        <v>20</v>
      </c>
      <c r="K31" s="52"/>
      <c r="L31" s="52">
        <v>0</v>
      </c>
      <c r="M31" s="52"/>
      <c r="N31" s="52">
        <f>SUM(B31:M31)</f>
        <v>246</v>
      </c>
      <c r="O31">
        <f t="shared" ref="O31:O50" si="2">+N31</f>
        <v>246</v>
      </c>
    </row>
    <row r="32" spans="1:15" ht="16.2" x14ac:dyDescent="0.25">
      <c r="A32" s="50" t="s">
        <v>142</v>
      </c>
      <c r="B32" s="52">
        <v>12</v>
      </c>
      <c r="C32" s="52">
        <v>16</v>
      </c>
      <c r="D32" s="52">
        <v>23</v>
      </c>
      <c r="E32" s="52">
        <v>16</v>
      </c>
      <c r="F32" s="52">
        <v>15</v>
      </c>
      <c r="G32" s="52"/>
      <c r="H32" s="52"/>
      <c r="I32" s="52"/>
      <c r="J32" s="52">
        <v>25</v>
      </c>
      <c r="K32" s="52">
        <v>29</v>
      </c>
      <c r="L32" s="52">
        <v>7</v>
      </c>
      <c r="M32" s="52">
        <v>8</v>
      </c>
      <c r="N32" s="52">
        <f>SUM(B32:M32)</f>
        <v>151</v>
      </c>
      <c r="O32">
        <f t="shared" si="2"/>
        <v>151</v>
      </c>
    </row>
    <row r="33" spans="1:15" ht="16.2" x14ac:dyDescent="0.25">
      <c r="A33" s="50" t="s">
        <v>118</v>
      </c>
      <c r="B33" s="52"/>
      <c r="C33" s="52"/>
      <c r="D33" s="52"/>
      <c r="E33" s="52"/>
      <c r="F33" s="52">
        <v>102</v>
      </c>
      <c r="G33" s="52">
        <v>290</v>
      </c>
      <c r="H33" s="52">
        <v>327</v>
      </c>
      <c r="I33" s="52">
        <v>342</v>
      </c>
      <c r="J33" s="52">
        <v>106</v>
      </c>
      <c r="K33" s="52"/>
      <c r="L33" s="52">
        <v>0</v>
      </c>
      <c r="M33" s="52"/>
      <c r="N33" s="52">
        <f t="shared" si="0"/>
        <v>1167</v>
      </c>
      <c r="O33">
        <f t="shared" si="2"/>
        <v>1167</v>
      </c>
    </row>
    <row r="34" spans="1:15" ht="16.2" x14ac:dyDescent="0.25">
      <c r="A34" s="50" t="s">
        <v>147</v>
      </c>
      <c r="B34" s="52">
        <v>266</v>
      </c>
      <c r="C34" s="52">
        <v>228</v>
      </c>
      <c r="D34" s="52">
        <v>246</v>
      </c>
      <c r="E34" s="52">
        <v>293</v>
      </c>
      <c r="F34" s="52">
        <v>155</v>
      </c>
      <c r="G34" s="52"/>
      <c r="H34" s="52"/>
      <c r="I34" s="52"/>
      <c r="J34" s="52">
        <v>222</v>
      </c>
      <c r="K34" s="52">
        <v>158</v>
      </c>
      <c r="L34" s="52">
        <v>329</v>
      </c>
      <c r="M34" s="52">
        <v>288</v>
      </c>
      <c r="N34" s="52">
        <f t="shared" ref="N34:N52" si="3">SUM(B34:M34)</f>
        <v>2185</v>
      </c>
      <c r="O34">
        <f t="shared" si="2"/>
        <v>2185</v>
      </c>
    </row>
    <row r="35" spans="1:15" ht="16.2" x14ac:dyDescent="0.25">
      <c r="A35" s="50" t="s">
        <v>119</v>
      </c>
      <c r="B35" s="52"/>
      <c r="C35" s="52"/>
      <c r="D35" s="52"/>
      <c r="E35" s="52"/>
      <c r="F35" s="52">
        <v>22</v>
      </c>
      <c r="G35" s="52">
        <v>141</v>
      </c>
      <c r="H35" s="52">
        <v>118</v>
      </c>
      <c r="I35" s="52">
        <v>112</v>
      </c>
      <c r="J35" s="52">
        <v>49</v>
      </c>
      <c r="K35" s="52"/>
      <c r="L35" s="52">
        <v>0</v>
      </c>
      <c r="M35" s="52"/>
      <c r="N35" s="52">
        <f t="shared" si="3"/>
        <v>442</v>
      </c>
      <c r="O35">
        <f t="shared" si="2"/>
        <v>442</v>
      </c>
    </row>
    <row r="36" spans="1:15" ht="16.2" x14ac:dyDescent="0.25">
      <c r="A36" s="50" t="s">
        <v>148</v>
      </c>
      <c r="B36" s="52">
        <v>165</v>
      </c>
      <c r="C36" s="52">
        <v>94</v>
      </c>
      <c r="D36" s="52">
        <v>93</v>
      </c>
      <c r="E36" s="52">
        <v>93</v>
      </c>
      <c r="F36" s="52">
        <v>60</v>
      </c>
      <c r="G36" s="52"/>
      <c r="H36" s="52"/>
      <c r="I36" s="52"/>
      <c r="J36" s="52">
        <v>203</v>
      </c>
      <c r="K36" s="52">
        <v>50</v>
      </c>
      <c r="L36" s="52">
        <v>92</v>
      </c>
      <c r="M36" s="52">
        <v>91</v>
      </c>
      <c r="N36" s="52">
        <f t="shared" si="3"/>
        <v>941</v>
      </c>
      <c r="O36">
        <f t="shared" si="2"/>
        <v>941</v>
      </c>
    </row>
    <row r="37" spans="1:15" ht="16.2" x14ac:dyDescent="0.25">
      <c r="A37" s="50" t="s">
        <v>120</v>
      </c>
      <c r="B37" s="52"/>
      <c r="C37" s="52"/>
      <c r="D37" s="52"/>
      <c r="E37" s="52"/>
      <c r="F37" s="52">
        <v>17</v>
      </c>
      <c r="G37" s="52">
        <v>43</v>
      </c>
      <c r="H37" s="52">
        <v>73</v>
      </c>
      <c r="I37" s="52">
        <v>140</v>
      </c>
      <c r="J37" s="52">
        <v>37</v>
      </c>
      <c r="K37" s="52"/>
      <c r="L37" s="52">
        <v>0</v>
      </c>
      <c r="M37" s="52"/>
      <c r="N37" s="52">
        <f t="shared" si="3"/>
        <v>310</v>
      </c>
      <c r="O37">
        <f t="shared" si="2"/>
        <v>310</v>
      </c>
    </row>
    <row r="38" spans="1:15" ht="16.2" x14ac:dyDescent="0.25">
      <c r="A38" s="50" t="s">
        <v>149</v>
      </c>
      <c r="B38" s="52">
        <v>37</v>
      </c>
      <c r="C38" s="52">
        <v>30</v>
      </c>
      <c r="D38" s="52">
        <v>50</v>
      </c>
      <c r="E38" s="52">
        <v>41</v>
      </c>
      <c r="F38" s="52">
        <v>25</v>
      </c>
      <c r="G38" s="52"/>
      <c r="H38" s="52"/>
      <c r="I38" s="52"/>
      <c r="J38" s="52">
        <v>70</v>
      </c>
      <c r="K38" s="52">
        <v>23</v>
      </c>
      <c r="L38" s="52">
        <v>52</v>
      </c>
      <c r="M38" s="52">
        <v>31</v>
      </c>
      <c r="N38" s="52">
        <f t="shared" si="3"/>
        <v>359</v>
      </c>
      <c r="O38">
        <f t="shared" si="2"/>
        <v>359</v>
      </c>
    </row>
    <row r="39" spans="1:15" ht="16.2" x14ac:dyDescent="0.25">
      <c r="A39" s="50" t="s">
        <v>121</v>
      </c>
      <c r="B39" s="52"/>
      <c r="C39" s="52"/>
      <c r="D39" s="52"/>
      <c r="E39" s="52"/>
      <c r="F39" s="52">
        <v>17</v>
      </c>
      <c r="G39" s="52">
        <v>50</v>
      </c>
      <c r="H39" s="52">
        <v>74</v>
      </c>
      <c r="I39" s="52">
        <v>128</v>
      </c>
      <c r="J39" s="52">
        <v>18</v>
      </c>
      <c r="K39" s="52"/>
      <c r="L39" s="52">
        <v>0</v>
      </c>
      <c r="M39" s="52"/>
      <c r="N39" s="52">
        <f t="shared" si="3"/>
        <v>287</v>
      </c>
      <c r="O39">
        <f t="shared" si="2"/>
        <v>287</v>
      </c>
    </row>
    <row r="40" spans="1:15" ht="16.2" x14ac:dyDescent="0.25">
      <c r="A40" s="50" t="s">
        <v>150</v>
      </c>
      <c r="B40" s="52">
        <v>38</v>
      </c>
      <c r="C40" s="52">
        <v>32</v>
      </c>
      <c r="D40" s="52">
        <v>56</v>
      </c>
      <c r="E40" s="52">
        <v>49</v>
      </c>
      <c r="F40" s="52">
        <v>36</v>
      </c>
      <c r="G40" s="52"/>
      <c r="H40" s="52"/>
      <c r="I40" s="52"/>
      <c r="J40" s="52">
        <v>50</v>
      </c>
      <c r="K40" s="52">
        <v>25</v>
      </c>
      <c r="L40" s="52">
        <v>36</v>
      </c>
      <c r="M40" s="52">
        <v>26</v>
      </c>
      <c r="N40" s="52">
        <f t="shared" si="3"/>
        <v>348</v>
      </c>
      <c r="O40">
        <f t="shared" si="2"/>
        <v>348</v>
      </c>
    </row>
    <row r="41" spans="1:15" ht="16.2" x14ac:dyDescent="0.25">
      <c r="A41" s="50" t="s">
        <v>122</v>
      </c>
      <c r="B41" s="52"/>
      <c r="C41" s="52"/>
      <c r="D41" s="52"/>
      <c r="E41" s="52"/>
      <c r="F41" s="52">
        <v>12</v>
      </c>
      <c r="G41" s="52">
        <v>19</v>
      </c>
      <c r="H41" s="52">
        <v>45</v>
      </c>
      <c r="I41" s="52">
        <v>33</v>
      </c>
      <c r="J41" s="52">
        <v>14</v>
      </c>
      <c r="K41" s="52"/>
      <c r="L41" s="52">
        <v>0</v>
      </c>
      <c r="M41" s="52"/>
      <c r="N41" s="52">
        <f t="shared" si="3"/>
        <v>123</v>
      </c>
      <c r="O41">
        <f t="shared" si="2"/>
        <v>123</v>
      </c>
    </row>
    <row r="42" spans="1:15" ht="16.2" x14ac:dyDescent="0.25">
      <c r="A42" s="50" t="s">
        <v>151</v>
      </c>
      <c r="B42" s="52">
        <v>8</v>
      </c>
      <c r="C42" s="52">
        <v>11</v>
      </c>
      <c r="D42" s="52">
        <v>19</v>
      </c>
      <c r="E42" s="52">
        <v>16</v>
      </c>
      <c r="F42" s="52">
        <v>10</v>
      </c>
      <c r="G42" s="52"/>
      <c r="H42" s="52"/>
      <c r="I42" s="52"/>
      <c r="J42" s="52">
        <v>19</v>
      </c>
      <c r="K42" s="52">
        <v>16</v>
      </c>
      <c r="L42" s="52">
        <v>16</v>
      </c>
      <c r="M42" s="52">
        <v>14</v>
      </c>
      <c r="N42" s="52">
        <f t="shared" si="3"/>
        <v>129</v>
      </c>
      <c r="O42">
        <f t="shared" si="2"/>
        <v>129</v>
      </c>
    </row>
    <row r="43" spans="1:15" ht="16.2" x14ac:dyDescent="0.25">
      <c r="A43" s="50" t="s">
        <v>123</v>
      </c>
      <c r="B43" s="52"/>
      <c r="C43" s="52"/>
      <c r="D43" s="52"/>
      <c r="E43" s="52"/>
      <c r="F43" s="52">
        <v>4</v>
      </c>
      <c r="G43" s="52">
        <v>10</v>
      </c>
      <c r="H43" s="52">
        <v>13</v>
      </c>
      <c r="I43" s="52">
        <v>21</v>
      </c>
      <c r="J43" s="52">
        <v>4</v>
      </c>
      <c r="K43" s="52"/>
      <c r="L43" s="52">
        <v>0</v>
      </c>
      <c r="M43" s="52"/>
      <c r="N43" s="52">
        <f t="shared" si="3"/>
        <v>52</v>
      </c>
      <c r="O43">
        <f t="shared" si="2"/>
        <v>52</v>
      </c>
    </row>
    <row r="44" spans="1:15" ht="16.2" x14ac:dyDescent="0.25">
      <c r="A44" s="50" t="s">
        <v>152</v>
      </c>
      <c r="B44" s="52">
        <v>4</v>
      </c>
      <c r="C44" s="52">
        <v>3</v>
      </c>
      <c r="D44" s="52">
        <v>6</v>
      </c>
      <c r="E44" s="52">
        <v>7</v>
      </c>
      <c r="F44" s="52">
        <v>4</v>
      </c>
      <c r="G44" s="52"/>
      <c r="H44" s="52"/>
      <c r="I44" s="52"/>
      <c r="J44" s="52">
        <v>3</v>
      </c>
      <c r="K44" s="52">
        <v>6</v>
      </c>
      <c r="L44" s="52">
        <v>4</v>
      </c>
      <c r="M44" s="52">
        <v>12</v>
      </c>
      <c r="N44" s="52">
        <f t="shared" si="3"/>
        <v>49</v>
      </c>
      <c r="O44">
        <f t="shared" si="2"/>
        <v>49</v>
      </c>
    </row>
    <row r="45" spans="1:15" ht="16.2" x14ac:dyDescent="0.25">
      <c r="A45" s="50" t="s">
        <v>124</v>
      </c>
      <c r="B45" s="52"/>
      <c r="C45" s="52"/>
      <c r="D45" s="52"/>
      <c r="E45" s="52"/>
      <c r="F45" s="52">
        <v>1</v>
      </c>
      <c r="G45" s="52">
        <v>2</v>
      </c>
      <c r="H45" s="52">
        <v>6</v>
      </c>
      <c r="I45" s="52">
        <v>10</v>
      </c>
      <c r="J45" s="52">
        <v>2</v>
      </c>
      <c r="K45" s="52"/>
      <c r="L45" s="52">
        <v>0</v>
      </c>
      <c r="M45" s="52"/>
      <c r="N45" s="52">
        <f t="shared" si="3"/>
        <v>21</v>
      </c>
      <c r="O45">
        <f t="shared" si="2"/>
        <v>21</v>
      </c>
    </row>
    <row r="46" spans="1:15" ht="16.2" x14ac:dyDescent="0.25">
      <c r="A46" s="50" t="s">
        <v>153</v>
      </c>
      <c r="B46" s="52">
        <v>2</v>
      </c>
      <c r="C46" s="52">
        <v>2</v>
      </c>
      <c r="D46" s="52">
        <v>3</v>
      </c>
      <c r="E46" s="52">
        <v>2</v>
      </c>
      <c r="F46" s="52">
        <v>2</v>
      </c>
      <c r="G46" s="52"/>
      <c r="H46" s="52"/>
      <c r="I46" s="52"/>
      <c r="J46" s="52">
        <v>3</v>
      </c>
      <c r="K46" s="52">
        <v>4</v>
      </c>
      <c r="L46" s="52">
        <v>2</v>
      </c>
      <c r="M46" s="52">
        <v>2</v>
      </c>
      <c r="N46" s="52">
        <f t="shared" si="3"/>
        <v>22</v>
      </c>
      <c r="O46">
        <f t="shared" si="2"/>
        <v>22</v>
      </c>
    </row>
    <row r="47" spans="1:15" ht="16.2" x14ac:dyDescent="0.25">
      <c r="A47" s="50" t="s">
        <v>125</v>
      </c>
      <c r="B47" s="52"/>
      <c r="C47" s="52"/>
      <c r="D47" s="52"/>
      <c r="E47" s="52"/>
      <c r="F47" s="52"/>
      <c r="G47" s="52">
        <v>1</v>
      </c>
      <c r="H47" s="52">
        <v>5</v>
      </c>
      <c r="I47" s="52">
        <v>2</v>
      </c>
      <c r="J47" s="52">
        <v>1</v>
      </c>
      <c r="K47" s="52"/>
      <c r="L47" s="52">
        <v>0</v>
      </c>
      <c r="M47" s="52"/>
      <c r="N47" s="52">
        <f t="shared" si="3"/>
        <v>9</v>
      </c>
      <c r="O47">
        <f t="shared" si="2"/>
        <v>9</v>
      </c>
    </row>
    <row r="48" spans="1:15" ht="16.2" x14ac:dyDescent="0.25">
      <c r="A48" s="50" t="s">
        <v>154</v>
      </c>
      <c r="B48" s="52">
        <v>1</v>
      </c>
      <c r="C48" s="52"/>
      <c r="D48" s="52"/>
      <c r="E48" s="52">
        <v>3</v>
      </c>
      <c r="F48" s="52">
        <v>1</v>
      </c>
      <c r="G48" s="52"/>
      <c r="H48" s="52"/>
      <c r="I48" s="52"/>
      <c r="J48" s="52">
        <v>5</v>
      </c>
      <c r="K48" s="52">
        <v>1</v>
      </c>
      <c r="L48" s="52">
        <v>1</v>
      </c>
      <c r="M48" s="52"/>
      <c r="N48" s="52">
        <f t="shared" si="3"/>
        <v>12</v>
      </c>
      <c r="O48">
        <f t="shared" si="2"/>
        <v>12</v>
      </c>
    </row>
    <row r="49" spans="1:15" ht="16.2" x14ac:dyDescent="0.25">
      <c r="A49" s="50" t="s">
        <v>126</v>
      </c>
      <c r="B49" s="52"/>
      <c r="C49" s="52"/>
      <c r="D49" s="52"/>
      <c r="E49" s="52"/>
      <c r="F49" s="52">
        <v>1</v>
      </c>
      <c r="G49" s="52">
        <v>3</v>
      </c>
      <c r="H49" s="52">
        <v>10</v>
      </c>
      <c r="I49" s="52">
        <v>14</v>
      </c>
      <c r="J49" s="52">
        <v>5</v>
      </c>
      <c r="K49" s="52"/>
      <c r="L49" s="52">
        <v>0</v>
      </c>
      <c r="M49" s="52"/>
      <c r="N49" s="52">
        <f t="shared" si="3"/>
        <v>33</v>
      </c>
      <c r="O49">
        <f t="shared" si="2"/>
        <v>33</v>
      </c>
    </row>
    <row r="50" spans="1:15" ht="16.2" x14ac:dyDescent="0.25">
      <c r="A50" s="57" t="s">
        <v>155</v>
      </c>
      <c r="B50" s="55">
        <v>2</v>
      </c>
      <c r="C50" s="52">
        <v>1</v>
      </c>
      <c r="D50" s="52">
        <v>3</v>
      </c>
      <c r="E50" s="52">
        <v>1</v>
      </c>
      <c r="F50" s="52">
        <v>1</v>
      </c>
      <c r="G50" s="52"/>
      <c r="H50" s="52"/>
      <c r="I50" s="52"/>
      <c r="J50" s="52">
        <v>29</v>
      </c>
      <c r="K50" s="52">
        <v>5</v>
      </c>
      <c r="L50" s="52">
        <v>13</v>
      </c>
      <c r="M50" s="52"/>
      <c r="N50" s="52">
        <f t="shared" si="3"/>
        <v>55</v>
      </c>
      <c r="O50">
        <f t="shared" si="2"/>
        <v>55</v>
      </c>
    </row>
    <row r="51" spans="1:15" ht="16.2" x14ac:dyDescent="0.25">
      <c r="A51" s="56" t="s">
        <v>77</v>
      </c>
      <c r="B51" s="58">
        <v>19</v>
      </c>
      <c r="C51" s="52">
        <v>18</v>
      </c>
      <c r="D51" s="52">
        <v>20</v>
      </c>
      <c r="E51" s="52">
        <v>20</v>
      </c>
      <c r="F51" s="52">
        <v>20</v>
      </c>
      <c r="G51" s="52">
        <v>14</v>
      </c>
      <c r="H51" s="52"/>
      <c r="I51" s="52"/>
      <c r="J51" s="52">
        <v>17</v>
      </c>
      <c r="K51" s="52">
        <v>21</v>
      </c>
      <c r="L51" s="52">
        <v>19</v>
      </c>
      <c r="M51" s="52">
        <v>13</v>
      </c>
      <c r="N51" s="58">
        <f t="shared" si="3"/>
        <v>181</v>
      </c>
    </row>
    <row r="52" spans="1:15" ht="16.2" x14ac:dyDescent="0.25">
      <c r="A52" s="59" t="s">
        <v>26</v>
      </c>
      <c r="B52" s="58">
        <v>690</v>
      </c>
      <c r="C52" s="52">
        <v>626</v>
      </c>
      <c r="D52" s="52">
        <v>815</v>
      </c>
      <c r="E52" s="52">
        <v>699</v>
      </c>
      <c r="F52" s="52">
        <v>690</v>
      </c>
      <c r="G52" s="52">
        <v>686</v>
      </c>
      <c r="H52" s="52">
        <v>738</v>
      </c>
      <c r="I52" s="52">
        <v>772</v>
      </c>
      <c r="J52" s="52">
        <v>702</v>
      </c>
      <c r="K52" s="52">
        <v>689</v>
      </c>
      <c r="L52" s="52">
        <v>664</v>
      </c>
      <c r="M52" s="52">
        <v>701</v>
      </c>
      <c r="N52" s="58">
        <f t="shared" si="3"/>
        <v>8472</v>
      </c>
    </row>
    <row r="53" spans="1:15" ht="16.2" x14ac:dyDescent="0.25">
      <c r="A53" s="56" t="s">
        <v>158</v>
      </c>
      <c r="B53">
        <f>SUM(B4:B52)</f>
        <v>14588</v>
      </c>
      <c r="C53">
        <f t="shared" ref="C53:N53" si="4">SUM(C4:C52)</f>
        <v>12502</v>
      </c>
      <c r="D53">
        <f t="shared" si="4"/>
        <v>15573</v>
      </c>
      <c r="E53">
        <f t="shared" si="4"/>
        <v>15843</v>
      </c>
      <c r="F53">
        <f t="shared" si="4"/>
        <v>18884</v>
      </c>
      <c r="G53">
        <f t="shared" si="4"/>
        <v>18635</v>
      </c>
      <c r="H53">
        <f t="shared" si="4"/>
        <v>23399.5</v>
      </c>
      <c r="I53">
        <f t="shared" si="4"/>
        <v>22778</v>
      </c>
      <c r="J53">
        <f t="shared" si="4"/>
        <v>16903</v>
      </c>
      <c r="K53">
        <f t="shared" si="4"/>
        <v>12530</v>
      </c>
      <c r="L53">
        <f t="shared" si="4"/>
        <v>12918</v>
      </c>
      <c r="M53">
        <f t="shared" si="4"/>
        <v>13375</v>
      </c>
      <c r="N53">
        <f t="shared" si="4"/>
        <v>197928.5</v>
      </c>
      <c r="O53">
        <f>SUM(O4:O52)</f>
        <v>110001</v>
      </c>
    </row>
    <row r="55" spans="1:15" ht="16.2" x14ac:dyDescent="0.25">
      <c r="A55" s="39" t="s">
        <v>86</v>
      </c>
      <c r="B55" s="40">
        <f t="shared" ref="B55:N55" si="5">+B4+B5+B6+B7+B9+B10</f>
        <v>3533</v>
      </c>
      <c r="C55" s="40">
        <f t="shared" si="5"/>
        <v>3010</v>
      </c>
      <c r="D55" s="40">
        <f t="shared" si="5"/>
        <v>3508</v>
      </c>
      <c r="E55" s="40">
        <f t="shared" si="5"/>
        <v>3903</v>
      </c>
      <c r="F55" s="40">
        <f t="shared" si="5"/>
        <v>4510</v>
      </c>
      <c r="G55" s="40">
        <f t="shared" si="5"/>
        <v>4906</v>
      </c>
      <c r="H55" s="40">
        <f t="shared" si="5"/>
        <v>4731</v>
      </c>
      <c r="I55" s="40">
        <f t="shared" si="5"/>
        <v>4326</v>
      </c>
      <c r="J55" s="40">
        <f t="shared" si="5"/>
        <v>3372</v>
      </c>
      <c r="K55" s="40">
        <f t="shared" si="5"/>
        <v>1885</v>
      </c>
      <c r="L55" s="40">
        <f t="shared" si="5"/>
        <v>2788</v>
      </c>
      <c r="M55" s="40">
        <f t="shared" si="5"/>
        <v>2706</v>
      </c>
      <c r="N55" s="40">
        <f t="shared" si="5"/>
        <v>43178</v>
      </c>
    </row>
    <row r="56" spans="1:15" ht="16.2" x14ac:dyDescent="0.25">
      <c r="A56" s="39" t="s">
        <v>157</v>
      </c>
      <c r="B56" s="40">
        <f t="shared" ref="B56:N56" si="6">+B8+B13+B30</f>
        <v>3311</v>
      </c>
      <c r="C56" s="40">
        <f t="shared" si="6"/>
        <v>2303</v>
      </c>
      <c r="D56" s="40">
        <f t="shared" si="6"/>
        <v>3513</v>
      </c>
      <c r="E56" s="40">
        <f t="shared" si="6"/>
        <v>2961</v>
      </c>
      <c r="F56" s="40">
        <f t="shared" si="6"/>
        <v>4417</v>
      </c>
      <c r="G56" s="40">
        <f t="shared" si="6"/>
        <v>4884</v>
      </c>
      <c r="H56" s="40">
        <f t="shared" si="6"/>
        <v>4436</v>
      </c>
      <c r="I56" s="40">
        <f t="shared" si="6"/>
        <v>5153</v>
      </c>
      <c r="J56" s="40">
        <f t="shared" si="6"/>
        <v>3257</v>
      </c>
      <c r="K56" s="40">
        <f t="shared" si="6"/>
        <v>3313</v>
      </c>
      <c r="L56" s="40">
        <f t="shared" si="6"/>
        <v>2263</v>
      </c>
      <c r="M56" s="40">
        <f t="shared" si="6"/>
        <v>1792</v>
      </c>
      <c r="N56" s="40">
        <f t="shared" si="6"/>
        <v>41603</v>
      </c>
    </row>
    <row r="57" spans="1:15" ht="16.2" x14ac:dyDescent="0.25">
      <c r="A57" s="33" t="s">
        <v>50</v>
      </c>
      <c r="B57" s="40">
        <f t="shared" ref="B57:M57" si="7">B4+B5+B6+B7+B9+B10+B16+B17+B19+B20+B27+B28+B23+B24+B33+B34+B35+B36+B37+B38+B39+B40+B41+B42+B43+B44+B45+B46+B47+B48+B49+B50</f>
        <v>7148</v>
      </c>
      <c r="C57" s="40">
        <f t="shared" si="7"/>
        <v>6430</v>
      </c>
      <c r="D57" s="40">
        <f t="shared" si="7"/>
        <v>7429</v>
      </c>
      <c r="E57" s="40">
        <f t="shared" si="7"/>
        <v>8166</v>
      </c>
      <c r="F57" s="40">
        <f t="shared" si="7"/>
        <v>8887</v>
      </c>
      <c r="G57" s="40">
        <f t="shared" si="7"/>
        <v>8482</v>
      </c>
      <c r="H57" s="40">
        <f t="shared" si="7"/>
        <v>9850</v>
      </c>
      <c r="I57" s="40">
        <f t="shared" si="7"/>
        <v>9294</v>
      </c>
      <c r="J57" s="40">
        <f t="shared" si="7"/>
        <v>7771</v>
      </c>
      <c r="K57" s="40">
        <f t="shared" si="7"/>
        <v>3890</v>
      </c>
      <c r="L57" s="40">
        <f t="shared" si="7"/>
        <v>6514</v>
      </c>
      <c r="M57" s="40">
        <f t="shared" si="7"/>
        <v>6814</v>
      </c>
      <c r="N57" s="40">
        <f>N4+N5+N6+N7+N9+N10+N16+N17+N19+N20+N27+N28+N23+N24+N33+N34+N35+N36+N37+N38+N39+N40+N41+N42+N43+N44+N45+N46+N47+N48+N49+N50</f>
        <v>90675</v>
      </c>
    </row>
    <row r="58" spans="1:15" ht="16.2" x14ac:dyDescent="0.25">
      <c r="A58" s="33" t="s">
        <v>28</v>
      </c>
      <c r="B58" s="40">
        <f>SUM(B4:B50)-B22-B29-B21</f>
        <v>13860</v>
      </c>
      <c r="C58" s="40">
        <f t="shared" ref="C58:M58" si="8">SUM(C4:C50)-C22-C29-C21</f>
        <v>11840</v>
      </c>
      <c r="D58" s="40">
        <f t="shared" si="8"/>
        <v>14717</v>
      </c>
      <c r="E58" s="40">
        <f t="shared" si="8"/>
        <v>15102</v>
      </c>
      <c r="F58" s="40">
        <f t="shared" si="8"/>
        <v>18153</v>
      </c>
      <c r="G58" s="40">
        <f t="shared" si="8"/>
        <v>17918</v>
      </c>
      <c r="H58" s="40">
        <f t="shared" si="8"/>
        <v>22655</v>
      </c>
      <c r="I58" s="40">
        <f t="shared" si="8"/>
        <v>21994</v>
      </c>
      <c r="J58" s="40">
        <f t="shared" si="8"/>
        <v>16102</v>
      </c>
      <c r="K58" s="40">
        <f t="shared" si="8"/>
        <v>11797</v>
      </c>
      <c r="L58" s="40">
        <f t="shared" si="8"/>
        <v>12198</v>
      </c>
      <c r="M58" s="40">
        <f t="shared" si="8"/>
        <v>12648</v>
      </c>
      <c r="N58" s="40">
        <f>SUM(N4:N50)-N22-N29-N21</f>
        <v>188984</v>
      </c>
    </row>
    <row r="59" spans="1:15" ht="16.2" x14ac:dyDescent="0.25">
      <c r="A59" s="33" t="s">
        <v>46</v>
      </c>
      <c r="B59" s="40">
        <f>SUM(B4:B50)-B22-B29-B51-B52-B21</f>
        <v>13151</v>
      </c>
      <c r="C59" s="40">
        <f t="shared" ref="C59:M59" si="9">SUM(C4:C50)-C22-C29-C51-C52-C21</f>
        <v>11196</v>
      </c>
      <c r="D59" s="40">
        <f t="shared" si="9"/>
        <v>13882</v>
      </c>
      <c r="E59" s="40">
        <f t="shared" si="9"/>
        <v>14383</v>
      </c>
      <c r="F59" s="40">
        <f t="shared" si="9"/>
        <v>17443</v>
      </c>
      <c r="G59" s="40">
        <f t="shared" si="9"/>
        <v>17218</v>
      </c>
      <c r="H59" s="40">
        <f t="shared" si="9"/>
        <v>21917</v>
      </c>
      <c r="I59" s="40">
        <f t="shared" si="9"/>
        <v>21222</v>
      </c>
      <c r="J59" s="40">
        <f t="shared" si="9"/>
        <v>15383</v>
      </c>
      <c r="K59" s="40">
        <f t="shared" si="9"/>
        <v>11087</v>
      </c>
      <c r="L59" s="40">
        <f t="shared" si="9"/>
        <v>11515</v>
      </c>
      <c r="M59" s="40">
        <f t="shared" si="9"/>
        <v>11934</v>
      </c>
      <c r="N59" s="40">
        <f>SUM(N4:N50)-N22-N29-N51-N52</f>
        <v>180512</v>
      </c>
    </row>
    <row r="60" spans="1:15" ht="16.2" x14ac:dyDescent="0.25">
      <c r="A60" s="33" t="s">
        <v>52</v>
      </c>
      <c r="B60" s="40">
        <f t="shared" ref="B60:N60" si="10">+B8+B11+B12+B13+B14+B15+B31+B32+B25+B26+B30</f>
        <v>6711</v>
      </c>
      <c r="C60" s="40">
        <f t="shared" si="10"/>
        <v>5410</v>
      </c>
      <c r="D60" s="40">
        <f t="shared" si="10"/>
        <v>7288</v>
      </c>
      <c r="E60" s="40">
        <f t="shared" si="10"/>
        <v>6936</v>
      </c>
      <c r="F60" s="40">
        <f t="shared" si="10"/>
        <v>9265</v>
      </c>
      <c r="G60" s="40">
        <f t="shared" si="10"/>
        <v>9424</v>
      </c>
      <c r="H60" s="40">
        <f t="shared" si="10"/>
        <v>12800</v>
      </c>
      <c r="I60" s="40">
        <f t="shared" si="10"/>
        <v>12693</v>
      </c>
      <c r="J60" s="40">
        <f t="shared" si="10"/>
        <v>8324</v>
      </c>
      <c r="K60" s="40">
        <f t="shared" si="10"/>
        <v>7907</v>
      </c>
      <c r="L60" s="40">
        <f t="shared" si="10"/>
        <v>5679</v>
      </c>
      <c r="M60" s="40">
        <f>+M8+M11+M12+M13+M14+M15+M31+M32+M25+M26+M30</f>
        <v>5832</v>
      </c>
      <c r="N60" s="40">
        <f t="shared" si="10"/>
        <v>98269</v>
      </c>
    </row>
    <row r="61" spans="1:15" ht="16.2" x14ac:dyDescent="0.25">
      <c r="A61" s="36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5" spans="1:14" ht="16.2" x14ac:dyDescent="0.25">
      <c r="A65" s="39" t="s">
        <v>179</v>
      </c>
      <c r="B65" s="40">
        <f>+B4+B6+B5+B7+B9+B10</f>
        <v>3533</v>
      </c>
      <c r="C65" s="40">
        <f t="shared" ref="C65:M65" si="11">+C4+C6+C5+C7+C9+C10</f>
        <v>3010</v>
      </c>
      <c r="D65" s="40">
        <f t="shared" si="11"/>
        <v>3508</v>
      </c>
      <c r="E65" s="40">
        <f t="shared" si="11"/>
        <v>3903</v>
      </c>
      <c r="F65" s="40">
        <f t="shared" si="11"/>
        <v>4510</v>
      </c>
      <c r="G65" s="40">
        <f t="shared" si="11"/>
        <v>4906</v>
      </c>
      <c r="H65" s="40">
        <f t="shared" si="11"/>
        <v>4731</v>
      </c>
      <c r="I65" s="40">
        <f t="shared" si="11"/>
        <v>4326</v>
      </c>
      <c r="J65" s="40">
        <f t="shared" si="11"/>
        <v>3372</v>
      </c>
      <c r="K65" s="40">
        <f t="shared" si="11"/>
        <v>1885</v>
      </c>
      <c r="L65" s="40">
        <f t="shared" si="11"/>
        <v>2788</v>
      </c>
      <c r="M65" s="40">
        <f t="shared" si="11"/>
        <v>2706</v>
      </c>
      <c r="N65" s="40">
        <f>SUM(B65:M65)</f>
        <v>43178</v>
      </c>
    </row>
    <row r="66" spans="1:14" ht="16.2" x14ac:dyDescent="0.25">
      <c r="A66" s="39" t="s">
        <v>177</v>
      </c>
      <c r="B66" s="40">
        <f>+B16+B17+B23+B24</f>
        <v>3063</v>
      </c>
      <c r="C66" s="40">
        <f t="shared" ref="C66:M66" si="12">+C16+C17+C23+C24</f>
        <v>2970</v>
      </c>
      <c r="D66" s="40">
        <f t="shared" si="12"/>
        <v>3375</v>
      </c>
      <c r="E66" s="40">
        <f t="shared" si="12"/>
        <v>3708</v>
      </c>
      <c r="F66" s="40">
        <f t="shared" si="12"/>
        <v>3846</v>
      </c>
      <c r="G66" s="40">
        <f t="shared" si="12"/>
        <v>2957</v>
      </c>
      <c r="H66" s="40">
        <f t="shared" si="12"/>
        <v>4347</v>
      </c>
      <c r="I66" s="40">
        <f t="shared" si="12"/>
        <v>4083</v>
      </c>
      <c r="J66" s="40">
        <f t="shared" si="12"/>
        <v>3492</v>
      </c>
      <c r="K66" s="40">
        <f t="shared" si="12"/>
        <v>1688</v>
      </c>
      <c r="L66" s="40">
        <f t="shared" si="12"/>
        <v>3171</v>
      </c>
      <c r="M66" s="40">
        <f t="shared" si="12"/>
        <v>3633</v>
      </c>
      <c r="N66" s="40">
        <f t="shared" ref="N66:N71" si="13">SUM(B66:M66)</f>
        <v>40333</v>
      </c>
    </row>
    <row r="67" spans="1:14" ht="16.2" x14ac:dyDescent="0.25">
      <c r="A67" s="33" t="s">
        <v>178</v>
      </c>
      <c r="B67" s="40">
        <f>+B19+B20+B27+B28</f>
        <v>29</v>
      </c>
      <c r="C67" s="40">
        <f t="shared" ref="C67:M67" si="14">+C19+C20+C27+C28</f>
        <v>49</v>
      </c>
      <c r="D67" s="40">
        <f t="shared" si="14"/>
        <v>70</v>
      </c>
      <c r="E67" s="40">
        <f t="shared" si="14"/>
        <v>50</v>
      </c>
      <c r="F67" s="40">
        <f t="shared" si="14"/>
        <v>61</v>
      </c>
      <c r="G67" s="40">
        <f t="shared" si="14"/>
        <v>60</v>
      </c>
      <c r="H67" s="40">
        <f t="shared" si="14"/>
        <v>101</v>
      </c>
      <c r="I67" s="40">
        <f t="shared" si="14"/>
        <v>83</v>
      </c>
      <c r="J67" s="40">
        <f t="shared" si="14"/>
        <v>67</v>
      </c>
      <c r="K67" s="40">
        <f t="shared" si="14"/>
        <v>29</v>
      </c>
      <c r="L67" s="40">
        <f t="shared" si="14"/>
        <v>10</v>
      </c>
      <c r="M67" s="40">
        <f t="shared" si="14"/>
        <v>11</v>
      </c>
      <c r="N67" s="40">
        <f t="shared" si="13"/>
        <v>620</v>
      </c>
    </row>
    <row r="68" spans="1:14" ht="16.2" x14ac:dyDescent="0.25">
      <c r="A68" s="33" t="s">
        <v>180</v>
      </c>
      <c r="B68" s="40">
        <f>+B33+B34+B35+B36+B37+B38+B39+B40+B41+B42+B43+B44+B45+B46+B47+B48+B49+B50</f>
        <v>523</v>
      </c>
      <c r="C68" s="40">
        <f t="shared" ref="C68:M68" si="15">+C33+C34+C35+C36+C37+C38+C39+C40+C41+C42+C43+C44+C45+C46+C47+C48+C49+C50</f>
        <v>401</v>
      </c>
      <c r="D68" s="40">
        <f t="shared" si="15"/>
        <v>476</v>
      </c>
      <c r="E68" s="40">
        <f t="shared" si="15"/>
        <v>505</v>
      </c>
      <c r="F68" s="40">
        <f t="shared" si="15"/>
        <v>470</v>
      </c>
      <c r="G68" s="40">
        <f t="shared" si="15"/>
        <v>559</v>
      </c>
      <c r="H68" s="40">
        <f t="shared" si="15"/>
        <v>671</v>
      </c>
      <c r="I68" s="40">
        <f t="shared" si="15"/>
        <v>802</v>
      </c>
      <c r="J68" s="40">
        <f t="shared" si="15"/>
        <v>840</v>
      </c>
      <c r="K68" s="40">
        <f t="shared" si="15"/>
        <v>288</v>
      </c>
      <c r="L68" s="40">
        <f t="shared" si="15"/>
        <v>545</v>
      </c>
      <c r="M68" s="40">
        <f t="shared" si="15"/>
        <v>464</v>
      </c>
      <c r="N68" s="40">
        <f t="shared" si="13"/>
        <v>6544</v>
      </c>
    </row>
    <row r="69" spans="1:14" ht="16.2" x14ac:dyDescent="0.25">
      <c r="A69" s="33" t="s">
        <v>157</v>
      </c>
      <c r="B69" s="40">
        <f>+B8+B13+B30</f>
        <v>3311</v>
      </c>
      <c r="C69" s="40">
        <f t="shared" ref="C69:M69" si="16">+C8+C13+C30</f>
        <v>2303</v>
      </c>
      <c r="D69" s="40">
        <f t="shared" si="16"/>
        <v>3513</v>
      </c>
      <c r="E69" s="40">
        <f t="shared" si="16"/>
        <v>2961</v>
      </c>
      <c r="F69" s="40">
        <f t="shared" si="16"/>
        <v>4417</v>
      </c>
      <c r="G69" s="40">
        <f t="shared" si="16"/>
        <v>4884</v>
      </c>
      <c r="H69" s="40">
        <f t="shared" si="16"/>
        <v>4436</v>
      </c>
      <c r="I69" s="40">
        <f t="shared" si="16"/>
        <v>5153</v>
      </c>
      <c r="J69" s="40">
        <f t="shared" si="16"/>
        <v>3257</v>
      </c>
      <c r="K69" s="40">
        <f t="shared" si="16"/>
        <v>3313</v>
      </c>
      <c r="L69" s="40">
        <f t="shared" si="16"/>
        <v>2263</v>
      </c>
      <c r="M69" s="40">
        <f t="shared" si="16"/>
        <v>1792</v>
      </c>
      <c r="N69" s="40">
        <f t="shared" si="13"/>
        <v>41603</v>
      </c>
    </row>
    <row r="70" spans="1:14" ht="16.2" x14ac:dyDescent="0.25">
      <c r="A70" s="33" t="s">
        <v>181</v>
      </c>
      <c r="B70" s="40">
        <f>+B14+B15+B25+B26</f>
        <v>3317</v>
      </c>
      <c r="C70" s="40">
        <f t="shared" ref="C70:M70" si="17">+C14+C15+C25+C26</f>
        <v>3045</v>
      </c>
      <c r="D70" s="40">
        <f t="shared" si="17"/>
        <v>3676</v>
      </c>
      <c r="E70" s="40">
        <f t="shared" si="17"/>
        <v>3861</v>
      </c>
      <c r="F70" s="40">
        <f t="shared" si="17"/>
        <v>4680</v>
      </c>
      <c r="G70" s="40">
        <f t="shared" si="17"/>
        <v>4333</v>
      </c>
      <c r="H70" s="40">
        <f t="shared" si="17"/>
        <v>7916</v>
      </c>
      <c r="I70" s="40">
        <f t="shared" si="17"/>
        <v>7142</v>
      </c>
      <c r="J70" s="40">
        <f t="shared" si="17"/>
        <v>4842</v>
      </c>
      <c r="K70" s="40">
        <f t="shared" si="17"/>
        <v>4442</v>
      </c>
      <c r="L70" s="40">
        <f t="shared" si="17"/>
        <v>3366</v>
      </c>
      <c r="M70" s="40">
        <f t="shared" si="17"/>
        <v>3985</v>
      </c>
      <c r="N70" s="40">
        <f t="shared" si="13"/>
        <v>54605</v>
      </c>
    </row>
    <row r="71" spans="1:14" ht="16.2" x14ac:dyDescent="0.25">
      <c r="A71" s="33" t="s">
        <v>182</v>
      </c>
      <c r="B71" s="40">
        <f>+B11+B12+B31+B32</f>
        <v>83</v>
      </c>
      <c r="C71" s="40">
        <f t="shared" ref="C71:L71" si="18">+C11+C12+C31+C32</f>
        <v>62</v>
      </c>
      <c r="D71" s="40">
        <f t="shared" si="18"/>
        <v>99</v>
      </c>
      <c r="E71" s="40">
        <f t="shared" si="18"/>
        <v>114</v>
      </c>
      <c r="F71" s="40">
        <f t="shared" si="18"/>
        <v>168</v>
      </c>
      <c r="G71" s="40">
        <f t="shared" si="18"/>
        <v>207</v>
      </c>
      <c r="H71" s="40">
        <f t="shared" si="18"/>
        <v>448</v>
      </c>
      <c r="I71" s="40">
        <f t="shared" si="18"/>
        <v>398</v>
      </c>
      <c r="J71" s="40">
        <f t="shared" si="18"/>
        <v>225</v>
      </c>
      <c r="K71" s="40">
        <f t="shared" si="18"/>
        <v>152</v>
      </c>
      <c r="L71" s="40">
        <f t="shared" si="18"/>
        <v>50</v>
      </c>
      <c r="M71" s="40">
        <f>+M11+M12+M31+M32</f>
        <v>55</v>
      </c>
      <c r="N71" s="40">
        <f t="shared" si="13"/>
        <v>2061</v>
      </c>
    </row>
  </sheetData>
  <phoneticPr fontId="13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6"/>
  <sheetViews>
    <sheetView workbookViewId="0">
      <selection activeCell="E3" sqref="E3"/>
    </sheetView>
  </sheetViews>
  <sheetFormatPr defaultRowHeight="15" x14ac:dyDescent="0.25"/>
  <cols>
    <col min="1" max="1" width="12.25" style="60" customWidth="1"/>
    <col min="2" max="2" width="1.9140625" customWidth="1"/>
    <col min="3" max="3" width="15.75" style="42" customWidth="1"/>
    <col min="4" max="4" width="1.9140625" style="42" customWidth="1"/>
    <col min="5" max="14" width="15.75" style="42" customWidth="1"/>
  </cols>
  <sheetData>
    <row r="1" spans="1:6" x14ac:dyDescent="0.25">
      <c r="C1" s="43" t="s">
        <v>176</v>
      </c>
      <c r="D1" s="43"/>
      <c r="E1" s="43" t="s">
        <v>173</v>
      </c>
      <c r="F1" s="43" t="s">
        <v>174</v>
      </c>
    </row>
    <row r="3" spans="1:6" x14ac:dyDescent="0.25">
      <c r="A3" s="63" t="s">
        <v>162</v>
      </c>
      <c r="C3" s="61">
        <v>13907</v>
      </c>
      <c r="E3" s="62">
        <f>'2009'!B58</f>
        <v>15438</v>
      </c>
      <c r="F3" s="61">
        <f>E3-C3</f>
        <v>1531</v>
      </c>
    </row>
    <row r="4" spans="1:6" x14ac:dyDescent="0.25">
      <c r="A4" s="63" t="s">
        <v>161</v>
      </c>
      <c r="C4" s="61">
        <v>13075</v>
      </c>
      <c r="E4" s="62">
        <f>'2009'!C58</f>
        <v>11991</v>
      </c>
      <c r="F4" s="61">
        <f t="shared" ref="F4:F16" si="0">E4-C4</f>
        <v>-1084</v>
      </c>
    </row>
    <row r="5" spans="1:6" x14ac:dyDescent="0.25">
      <c r="A5" s="63" t="s">
        <v>160</v>
      </c>
      <c r="C5" s="61">
        <v>14764</v>
      </c>
      <c r="E5" s="62">
        <f>'2009'!D58</f>
        <v>14085</v>
      </c>
      <c r="F5" s="61">
        <f t="shared" si="0"/>
        <v>-679</v>
      </c>
    </row>
    <row r="6" spans="1:6" x14ac:dyDescent="0.25">
      <c r="A6" s="63" t="s">
        <v>163</v>
      </c>
      <c r="C6" s="61">
        <v>15376</v>
      </c>
      <c r="E6" s="62">
        <f>'2009'!E58</f>
        <v>14602</v>
      </c>
      <c r="F6" s="61">
        <f t="shared" si="0"/>
        <v>-774</v>
      </c>
    </row>
    <row r="7" spans="1:6" x14ac:dyDescent="0.25">
      <c r="A7" s="63" t="s">
        <v>164</v>
      </c>
      <c r="C7" s="61">
        <v>17589</v>
      </c>
      <c r="E7" s="62">
        <f>'2009'!F58</f>
        <v>20844</v>
      </c>
      <c r="F7" s="61">
        <f t="shared" si="0"/>
        <v>3255</v>
      </c>
    </row>
    <row r="8" spans="1:6" x14ac:dyDescent="0.25">
      <c r="A8" s="63" t="s">
        <v>165</v>
      </c>
      <c r="C8" s="61">
        <v>18451</v>
      </c>
      <c r="E8" s="62">
        <f>'2009'!G58</f>
        <v>19339</v>
      </c>
      <c r="F8" s="61">
        <f t="shared" si="0"/>
        <v>888</v>
      </c>
    </row>
    <row r="9" spans="1:6" x14ac:dyDescent="0.25">
      <c r="A9" s="63" t="s">
        <v>166</v>
      </c>
      <c r="C9" s="61">
        <v>23080</v>
      </c>
      <c r="E9" s="62">
        <f>'2009'!H58</f>
        <v>24839</v>
      </c>
      <c r="F9" s="61">
        <f t="shared" si="0"/>
        <v>1759</v>
      </c>
    </row>
    <row r="10" spans="1:6" x14ac:dyDescent="0.25">
      <c r="A10" s="63" t="s">
        <v>167</v>
      </c>
      <c r="C10" s="61">
        <v>21257</v>
      </c>
      <c r="E10" s="62">
        <f>'2009'!I58</f>
        <v>21971</v>
      </c>
      <c r="F10" s="61">
        <f t="shared" si="0"/>
        <v>714</v>
      </c>
    </row>
    <row r="11" spans="1:6" x14ac:dyDescent="0.25">
      <c r="A11" s="63" t="s">
        <v>168</v>
      </c>
      <c r="C11" s="61">
        <v>17597</v>
      </c>
      <c r="E11" s="62">
        <f>'2009'!J58</f>
        <v>17769</v>
      </c>
      <c r="F11" s="61">
        <f t="shared" si="0"/>
        <v>172</v>
      </c>
    </row>
    <row r="12" spans="1:6" x14ac:dyDescent="0.25">
      <c r="A12" s="63" t="s">
        <v>169</v>
      </c>
      <c r="C12" s="61">
        <v>16225</v>
      </c>
      <c r="E12" s="62">
        <f>'2009'!K58</f>
        <v>14795</v>
      </c>
      <c r="F12" s="61">
        <f t="shared" si="0"/>
        <v>-1430</v>
      </c>
    </row>
    <row r="13" spans="1:6" x14ac:dyDescent="0.25">
      <c r="A13" s="63" t="s">
        <v>170</v>
      </c>
      <c r="C13" s="61">
        <v>13915</v>
      </c>
      <c r="E13" s="62">
        <f>'2009'!L58</f>
        <v>14102</v>
      </c>
      <c r="F13" s="61">
        <f t="shared" si="0"/>
        <v>187</v>
      </c>
    </row>
    <row r="14" spans="1:6" x14ac:dyDescent="0.25">
      <c r="A14" s="63" t="s">
        <v>171</v>
      </c>
      <c r="C14" s="61">
        <v>14356</v>
      </c>
      <c r="E14" s="62">
        <f>'2009'!M58</f>
        <v>14386</v>
      </c>
      <c r="F14" s="61">
        <f t="shared" si="0"/>
        <v>30</v>
      </c>
    </row>
    <row r="15" spans="1:6" x14ac:dyDescent="0.25">
      <c r="E15" s="62"/>
      <c r="F15" s="61"/>
    </row>
    <row r="16" spans="1:6" x14ac:dyDescent="0.25">
      <c r="A16" s="63" t="s">
        <v>172</v>
      </c>
      <c r="C16" s="61">
        <f>SUM(C3:C14)</f>
        <v>199592</v>
      </c>
      <c r="E16" s="62">
        <f>SUM(E3:E15)</f>
        <v>204161</v>
      </c>
      <c r="F16" s="61">
        <f t="shared" si="0"/>
        <v>4569</v>
      </c>
    </row>
  </sheetData>
  <phoneticPr fontId="13" type="noConversion"/>
  <pageMargins left="0.7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71"/>
  <sheetViews>
    <sheetView topLeftCell="A3" zoomScale="75" workbookViewId="0">
      <pane xSplit="1" ySplit="1" topLeftCell="M6" activePane="bottomRight" state="frozen"/>
      <selection activeCell="A3" sqref="A3"/>
      <selection pane="topRight" activeCell="B3" sqref="B3"/>
      <selection pane="bottomLeft" activeCell="A4" sqref="A4"/>
      <selection pane="bottomRight" activeCell="M71" sqref="M71"/>
    </sheetView>
  </sheetViews>
  <sheetFormatPr defaultRowHeight="15" x14ac:dyDescent="0.25"/>
  <cols>
    <col min="1" max="1" width="27" customWidth="1"/>
  </cols>
  <sheetData>
    <row r="1" spans="1:14" ht="18.600000000000001" x14ac:dyDescent="0.25">
      <c r="A1" s="48" t="s">
        <v>156</v>
      </c>
    </row>
    <row r="2" spans="1:14" x14ac:dyDescent="0.25">
      <c r="A2" s="49"/>
    </row>
    <row r="3" spans="1:14" ht="16.8" x14ac:dyDescent="0.25">
      <c r="A3" s="49"/>
      <c r="B3" s="47" t="s">
        <v>29</v>
      </c>
      <c r="C3" s="34" t="s">
        <v>30</v>
      </c>
      <c r="D3" s="34" t="s">
        <v>31</v>
      </c>
      <c r="E3" s="34" t="s">
        <v>32</v>
      </c>
      <c r="F3" s="34" t="s">
        <v>33</v>
      </c>
      <c r="G3" s="34" t="s">
        <v>34</v>
      </c>
      <c r="H3" s="34" t="s">
        <v>35</v>
      </c>
      <c r="I3" s="34" t="s">
        <v>36</v>
      </c>
      <c r="J3" s="34" t="s">
        <v>37</v>
      </c>
      <c r="K3" s="34" t="s">
        <v>38</v>
      </c>
      <c r="L3" s="34" t="s">
        <v>39</v>
      </c>
      <c r="M3" s="34" t="s">
        <v>40</v>
      </c>
      <c r="N3" s="35" t="s">
        <v>41</v>
      </c>
    </row>
    <row r="4" spans="1:14" ht="16.2" x14ac:dyDescent="0.25">
      <c r="A4" s="50" t="s">
        <v>128</v>
      </c>
      <c r="B4" s="52">
        <v>1970</v>
      </c>
      <c r="C4" s="52">
        <v>1290</v>
      </c>
      <c r="D4" s="52">
        <v>1540</v>
      </c>
      <c r="E4" s="52">
        <v>920</v>
      </c>
      <c r="F4" s="52">
        <v>2500</v>
      </c>
      <c r="G4" s="52">
        <v>2120</v>
      </c>
      <c r="H4" s="52">
        <v>2260</v>
      </c>
      <c r="I4" s="52">
        <v>2290</v>
      </c>
      <c r="J4" s="52">
        <v>1840</v>
      </c>
      <c r="K4" s="52">
        <v>1430</v>
      </c>
      <c r="L4" s="52">
        <v>1770</v>
      </c>
      <c r="M4" s="52">
        <v>1940</v>
      </c>
      <c r="N4" s="53">
        <f>SUM(B4:M4)</f>
        <v>21870</v>
      </c>
    </row>
    <row r="5" spans="1:14" ht="16.2" x14ac:dyDescent="0.25">
      <c r="A5" s="50" t="s">
        <v>58</v>
      </c>
      <c r="B5" s="52">
        <v>20</v>
      </c>
      <c r="C5" s="52">
        <v>20</v>
      </c>
      <c r="D5" s="52">
        <v>20</v>
      </c>
      <c r="E5" s="52">
        <v>30</v>
      </c>
      <c r="F5" s="52">
        <v>90</v>
      </c>
      <c r="G5" s="52">
        <v>30</v>
      </c>
      <c r="H5" s="52">
        <v>70</v>
      </c>
      <c r="I5" s="52">
        <v>80</v>
      </c>
      <c r="J5" s="52">
        <v>50</v>
      </c>
      <c r="K5" s="52">
        <v>20</v>
      </c>
      <c r="L5" s="52"/>
      <c r="M5" s="52"/>
      <c r="N5" s="53">
        <f t="shared" ref="N5:N53" si="0">SUM(B5:M5)</f>
        <v>430</v>
      </c>
    </row>
    <row r="6" spans="1:14" ht="16.2" x14ac:dyDescent="0.25">
      <c r="A6" s="50" t="s">
        <v>129</v>
      </c>
      <c r="B6" s="52">
        <v>1620</v>
      </c>
      <c r="C6" s="52">
        <v>900</v>
      </c>
      <c r="D6" s="52">
        <v>1330</v>
      </c>
      <c r="E6" s="52">
        <v>1010</v>
      </c>
      <c r="F6" s="52">
        <v>2040</v>
      </c>
      <c r="G6" s="52">
        <v>1610</v>
      </c>
      <c r="H6" s="52">
        <v>1970</v>
      </c>
      <c r="I6" s="52">
        <v>1710</v>
      </c>
      <c r="J6" s="52">
        <v>1510</v>
      </c>
      <c r="K6" s="52">
        <v>1420</v>
      </c>
      <c r="L6" s="52">
        <v>1430</v>
      </c>
      <c r="M6" s="52">
        <v>1460</v>
      </c>
      <c r="N6" s="53">
        <f t="shared" si="0"/>
        <v>18010</v>
      </c>
    </row>
    <row r="7" spans="1:14" ht="16.2" x14ac:dyDescent="0.25">
      <c r="A7" s="50" t="s">
        <v>130</v>
      </c>
      <c r="B7" s="52">
        <v>30</v>
      </c>
      <c r="C7" s="52"/>
      <c r="D7" s="52"/>
      <c r="E7" s="52">
        <v>10</v>
      </c>
      <c r="F7" s="52">
        <v>40</v>
      </c>
      <c r="G7" s="52">
        <v>40</v>
      </c>
      <c r="H7" s="52">
        <v>40</v>
      </c>
      <c r="I7" s="52">
        <v>20</v>
      </c>
      <c r="J7" s="52">
        <v>10</v>
      </c>
      <c r="K7" s="52">
        <v>20</v>
      </c>
      <c r="L7" s="52"/>
      <c r="M7" s="52"/>
      <c r="N7" s="53">
        <f t="shared" si="0"/>
        <v>210</v>
      </c>
    </row>
    <row r="8" spans="1:14" ht="16.2" x14ac:dyDescent="0.25">
      <c r="A8" s="50" t="s">
        <v>131</v>
      </c>
      <c r="B8" s="52">
        <v>230</v>
      </c>
      <c r="C8" s="52">
        <v>92</v>
      </c>
      <c r="D8" s="52">
        <v>322</v>
      </c>
      <c r="E8" s="52">
        <v>230</v>
      </c>
      <c r="F8" s="52">
        <v>276</v>
      </c>
      <c r="G8" s="52">
        <v>299</v>
      </c>
      <c r="H8" s="52">
        <v>253</v>
      </c>
      <c r="I8" s="52">
        <v>207</v>
      </c>
      <c r="J8" s="52">
        <v>184</v>
      </c>
      <c r="K8" s="52">
        <v>276</v>
      </c>
      <c r="L8" s="52">
        <v>115</v>
      </c>
      <c r="M8" s="52">
        <v>253</v>
      </c>
      <c r="N8" s="53">
        <f t="shared" si="0"/>
        <v>2737</v>
      </c>
    </row>
    <row r="9" spans="1:14" ht="16.2" x14ac:dyDescent="0.25">
      <c r="A9" s="50" t="s">
        <v>132</v>
      </c>
      <c r="B9" s="52">
        <v>483</v>
      </c>
      <c r="C9" s="52">
        <v>368</v>
      </c>
      <c r="D9" s="52">
        <v>437</v>
      </c>
      <c r="E9" s="52">
        <v>161</v>
      </c>
      <c r="F9" s="52">
        <v>345</v>
      </c>
      <c r="G9" s="52">
        <v>391</v>
      </c>
      <c r="H9" s="52">
        <v>253</v>
      </c>
      <c r="I9" s="52">
        <v>230</v>
      </c>
      <c r="J9" s="52">
        <v>253</v>
      </c>
      <c r="K9" s="52">
        <v>345</v>
      </c>
      <c r="L9" s="52">
        <v>184</v>
      </c>
      <c r="M9" s="52">
        <v>207</v>
      </c>
      <c r="N9" s="53">
        <f t="shared" si="0"/>
        <v>3657</v>
      </c>
    </row>
    <row r="10" spans="1:14" ht="16.2" x14ac:dyDescent="0.25">
      <c r="A10" s="50" t="s">
        <v>133</v>
      </c>
      <c r="B10" s="52"/>
      <c r="C10" s="52"/>
      <c r="D10" s="52"/>
      <c r="E10" s="52"/>
      <c r="F10" s="52">
        <v>23</v>
      </c>
      <c r="G10" s="52"/>
      <c r="H10" s="52">
        <v>23</v>
      </c>
      <c r="I10" s="52"/>
      <c r="J10" s="52"/>
      <c r="K10" s="52"/>
      <c r="L10" s="52"/>
      <c r="M10" s="52"/>
      <c r="N10" s="53">
        <f t="shared" si="0"/>
        <v>46</v>
      </c>
    </row>
    <row r="11" spans="1:14" ht="16.2" x14ac:dyDescent="0.25">
      <c r="A11" s="50" t="s">
        <v>134</v>
      </c>
      <c r="B11" s="52"/>
      <c r="C11" s="52"/>
      <c r="D11" s="52"/>
      <c r="E11" s="52"/>
      <c r="F11" s="52">
        <v>86</v>
      </c>
      <c r="G11" s="52">
        <v>214</v>
      </c>
      <c r="H11" s="52">
        <v>291</v>
      </c>
      <c r="I11" s="52">
        <v>315</v>
      </c>
      <c r="J11" s="52">
        <v>72</v>
      </c>
      <c r="K11" s="52"/>
      <c r="L11" s="52"/>
      <c r="M11" s="52"/>
      <c r="N11" s="53">
        <f t="shared" si="0"/>
        <v>978</v>
      </c>
    </row>
    <row r="12" spans="1:14" ht="16.2" x14ac:dyDescent="0.25">
      <c r="A12" s="50" t="s">
        <v>135</v>
      </c>
      <c r="B12" s="52">
        <v>57</v>
      </c>
      <c r="C12" s="52">
        <v>57</v>
      </c>
      <c r="D12" s="52">
        <v>52</v>
      </c>
      <c r="E12" s="52">
        <v>166</v>
      </c>
      <c r="F12" s="52">
        <v>75</v>
      </c>
      <c r="G12" s="52"/>
      <c r="H12" s="52"/>
      <c r="I12" s="52"/>
      <c r="J12" s="52">
        <v>160</v>
      </c>
      <c r="K12" s="52">
        <v>78</v>
      </c>
      <c r="L12" s="52">
        <v>39</v>
      </c>
      <c r="M12" s="52">
        <v>25</v>
      </c>
      <c r="N12" s="53">
        <f t="shared" si="0"/>
        <v>709</v>
      </c>
    </row>
    <row r="13" spans="1:14" ht="16.2" x14ac:dyDescent="0.25">
      <c r="A13" s="50" t="s">
        <v>60</v>
      </c>
      <c r="B13" s="52">
        <v>2050</v>
      </c>
      <c r="C13" s="52">
        <v>1325</v>
      </c>
      <c r="D13" s="52">
        <v>1600</v>
      </c>
      <c r="E13" s="52">
        <v>2100</v>
      </c>
      <c r="F13" s="52">
        <v>3150</v>
      </c>
      <c r="G13" s="52">
        <v>2625</v>
      </c>
      <c r="H13" s="52">
        <v>2675</v>
      </c>
      <c r="I13" s="52">
        <v>2225</v>
      </c>
      <c r="J13" s="52">
        <v>2000</v>
      </c>
      <c r="K13" s="52">
        <v>1600</v>
      </c>
      <c r="L13" s="52">
        <v>1575</v>
      </c>
      <c r="M13" s="52">
        <v>1425</v>
      </c>
      <c r="N13" s="53">
        <f t="shared" si="0"/>
        <v>24350</v>
      </c>
    </row>
    <row r="14" spans="1:14" ht="16.2" x14ac:dyDescent="0.25">
      <c r="A14" s="50" t="s">
        <v>111</v>
      </c>
      <c r="B14" s="52"/>
      <c r="C14" s="52"/>
      <c r="D14" s="52"/>
      <c r="E14" s="52"/>
      <c r="F14" s="52">
        <v>1666</v>
      </c>
      <c r="G14" s="52">
        <v>3645</v>
      </c>
      <c r="H14" s="52">
        <v>5545</v>
      </c>
      <c r="I14" s="52">
        <v>4841</v>
      </c>
      <c r="J14" s="52">
        <v>1343</v>
      </c>
      <c r="K14" s="52"/>
      <c r="L14" s="52"/>
      <c r="M14" s="52"/>
      <c r="N14" s="53">
        <f t="shared" si="0"/>
        <v>17040</v>
      </c>
    </row>
    <row r="15" spans="1:14" ht="16.2" x14ac:dyDescent="0.25">
      <c r="A15" s="50" t="s">
        <v>136</v>
      </c>
      <c r="B15" s="52">
        <v>2139</v>
      </c>
      <c r="C15" s="52">
        <v>2280</v>
      </c>
      <c r="D15" s="52">
        <v>2584</v>
      </c>
      <c r="E15" s="52">
        <v>3618</v>
      </c>
      <c r="F15" s="52">
        <v>1893</v>
      </c>
      <c r="G15" s="52"/>
      <c r="H15" s="52"/>
      <c r="I15" s="52"/>
      <c r="J15" s="52">
        <v>2230</v>
      </c>
      <c r="K15" s="52">
        <v>2743</v>
      </c>
      <c r="L15" s="52">
        <v>2344</v>
      </c>
      <c r="M15" s="52">
        <v>2382</v>
      </c>
      <c r="N15" s="53">
        <f t="shared" si="0"/>
        <v>22213</v>
      </c>
    </row>
    <row r="16" spans="1:14" ht="16.2" x14ac:dyDescent="0.25">
      <c r="A16" s="50" t="s">
        <v>127</v>
      </c>
      <c r="B16" s="52"/>
      <c r="C16" s="52"/>
      <c r="D16" s="52"/>
      <c r="E16" s="52"/>
      <c r="F16" s="52">
        <v>1377</v>
      </c>
      <c r="G16" s="52">
        <v>2851</v>
      </c>
      <c r="H16" s="52">
        <v>3913</v>
      </c>
      <c r="I16" s="52">
        <v>3679</v>
      </c>
      <c r="J16" s="52">
        <v>1113</v>
      </c>
      <c r="K16" s="52"/>
      <c r="L16" s="52"/>
      <c r="M16" s="52"/>
      <c r="N16" s="53">
        <f t="shared" si="0"/>
        <v>12933</v>
      </c>
    </row>
    <row r="17" spans="1:14" ht="16.2" x14ac:dyDescent="0.25">
      <c r="A17" s="50" t="s">
        <v>137</v>
      </c>
      <c r="B17" s="52">
        <v>3094</v>
      </c>
      <c r="C17" s="52">
        <v>2714</v>
      </c>
      <c r="D17" s="52">
        <v>3141</v>
      </c>
      <c r="E17" s="52">
        <v>2271</v>
      </c>
      <c r="F17" s="52">
        <v>2193</v>
      </c>
      <c r="G17" s="52">
        <v>-1</v>
      </c>
      <c r="H17" s="52"/>
      <c r="I17" s="52"/>
      <c r="J17" s="52">
        <v>1961</v>
      </c>
      <c r="K17" s="52">
        <v>3234</v>
      </c>
      <c r="L17" s="52">
        <v>2780</v>
      </c>
      <c r="M17" s="52">
        <v>2972</v>
      </c>
      <c r="N17" s="53">
        <f t="shared" si="0"/>
        <v>24359</v>
      </c>
    </row>
    <row r="18" spans="1:14" ht="16.2" x14ac:dyDescent="0.25">
      <c r="A18" s="50" t="s">
        <v>62</v>
      </c>
      <c r="B18" s="52">
        <v>1</v>
      </c>
      <c r="C18" s="52">
        <v>1</v>
      </c>
      <c r="D18" s="52">
        <v>2</v>
      </c>
      <c r="E18" s="52">
        <v>1</v>
      </c>
      <c r="F18" s="52">
        <v>2</v>
      </c>
      <c r="G18" s="52">
        <v>1</v>
      </c>
      <c r="H18" s="52">
        <v>3</v>
      </c>
      <c r="I18" s="52">
        <v>1</v>
      </c>
      <c r="J18" s="52">
        <v>2</v>
      </c>
      <c r="K18" s="52">
        <v>2</v>
      </c>
      <c r="L18" s="52"/>
      <c r="M18" s="52">
        <v>2</v>
      </c>
      <c r="N18" s="53">
        <f t="shared" si="0"/>
        <v>18</v>
      </c>
    </row>
    <row r="19" spans="1:14" ht="16.2" x14ac:dyDescent="0.25">
      <c r="A19" s="50" t="s">
        <v>11</v>
      </c>
      <c r="B19" s="52">
        <v>19</v>
      </c>
      <c r="C19" s="52">
        <v>18</v>
      </c>
      <c r="D19" s="52">
        <v>20</v>
      </c>
      <c r="E19" s="52">
        <v>19</v>
      </c>
      <c r="F19" s="52">
        <v>20</v>
      </c>
      <c r="G19" s="52">
        <v>13</v>
      </c>
      <c r="H19" s="52"/>
      <c r="I19" s="52"/>
      <c r="J19" s="52">
        <v>16</v>
      </c>
      <c r="K19" s="52">
        <v>21</v>
      </c>
      <c r="L19" s="52">
        <v>18</v>
      </c>
      <c r="M19" s="52">
        <v>14</v>
      </c>
      <c r="N19" s="53">
        <f t="shared" si="0"/>
        <v>178</v>
      </c>
    </row>
    <row r="20" spans="1:14" ht="16.2" x14ac:dyDescent="0.25">
      <c r="A20" s="50" t="s">
        <v>138</v>
      </c>
      <c r="B20" s="52"/>
      <c r="C20" s="52"/>
      <c r="D20" s="52"/>
      <c r="E20" s="52"/>
      <c r="F20" s="52">
        <v>49</v>
      </c>
      <c r="G20" s="52">
        <v>64</v>
      </c>
      <c r="H20" s="52">
        <v>80</v>
      </c>
      <c r="I20" s="52">
        <v>84</v>
      </c>
      <c r="J20" s="52">
        <v>22</v>
      </c>
      <c r="K20" s="52"/>
      <c r="L20" s="52"/>
      <c r="M20" s="52"/>
      <c r="N20" s="53">
        <f t="shared" si="0"/>
        <v>299</v>
      </c>
    </row>
    <row r="21" spans="1:14" ht="16.2" x14ac:dyDescent="0.25">
      <c r="A21" s="50" t="s">
        <v>139</v>
      </c>
      <c r="B21" s="52">
        <v>28</v>
      </c>
      <c r="C21" s="52">
        <v>46</v>
      </c>
      <c r="D21" s="52">
        <v>52</v>
      </c>
      <c r="E21" s="52">
        <v>78</v>
      </c>
      <c r="F21" s="52">
        <v>47</v>
      </c>
      <c r="G21" s="52"/>
      <c r="H21" s="52"/>
      <c r="I21" s="52"/>
      <c r="J21" s="52">
        <v>74</v>
      </c>
      <c r="K21" s="52">
        <v>52</v>
      </c>
      <c r="L21" s="52">
        <v>48</v>
      </c>
      <c r="M21" s="52">
        <v>15</v>
      </c>
      <c r="N21" s="53">
        <f t="shared" si="0"/>
        <v>440</v>
      </c>
    </row>
    <row r="22" spans="1:14" ht="16.2" x14ac:dyDescent="0.25">
      <c r="A22" s="50" t="s">
        <v>12</v>
      </c>
      <c r="B22" s="52">
        <v>2</v>
      </c>
      <c r="C22" s="52">
        <v>6</v>
      </c>
      <c r="D22" s="52"/>
      <c r="E22" s="52">
        <v>2</v>
      </c>
      <c r="F22" s="52">
        <v>4</v>
      </c>
      <c r="G22" s="52">
        <v>7</v>
      </c>
      <c r="H22" s="52"/>
      <c r="I22" s="52">
        <v>5</v>
      </c>
      <c r="J22" s="52">
        <v>8</v>
      </c>
      <c r="K22" s="52">
        <v>4</v>
      </c>
      <c r="L22" s="52">
        <v>6</v>
      </c>
      <c r="M22" s="52">
        <v>1</v>
      </c>
      <c r="N22" s="53">
        <f t="shared" si="0"/>
        <v>45</v>
      </c>
    </row>
    <row r="23" spans="1:14" ht="16.2" x14ac:dyDescent="0.25">
      <c r="A23" s="50" t="s">
        <v>140</v>
      </c>
      <c r="B23" s="52"/>
      <c r="C23" s="52"/>
      <c r="D23" s="52"/>
      <c r="E23" s="52"/>
      <c r="F23" s="52">
        <v>4</v>
      </c>
      <c r="G23" s="52">
        <v>6</v>
      </c>
      <c r="H23" s="52">
        <v>18</v>
      </c>
      <c r="I23" s="52">
        <v>8</v>
      </c>
      <c r="J23" s="52">
        <v>3</v>
      </c>
      <c r="K23" s="52"/>
      <c r="L23" s="52"/>
      <c r="M23" s="52"/>
      <c r="N23" s="53">
        <f t="shared" si="0"/>
        <v>39</v>
      </c>
    </row>
    <row r="24" spans="1:14" ht="16.2" x14ac:dyDescent="0.25">
      <c r="A24" s="50" t="s">
        <v>141</v>
      </c>
      <c r="B24" s="52">
        <v>4</v>
      </c>
      <c r="C24" s="52">
        <v>1</v>
      </c>
      <c r="D24" s="52"/>
      <c r="E24" s="52">
        <v>4</v>
      </c>
      <c r="F24" s="52">
        <v>5</v>
      </c>
      <c r="G24" s="52"/>
      <c r="H24" s="52"/>
      <c r="I24" s="52"/>
      <c r="J24" s="52">
        <v>22</v>
      </c>
      <c r="K24" s="52">
        <v>5</v>
      </c>
      <c r="L24" s="52">
        <v>1</v>
      </c>
      <c r="M24" s="52"/>
      <c r="N24" s="53">
        <f t="shared" si="0"/>
        <v>42</v>
      </c>
    </row>
    <row r="25" spans="1:14" ht="16.2" x14ac:dyDescent="0.25">
      <c r="A25" s="50" t="s">
        <v>116</v>
      </c>
      <c r="B25" s="52"/>
      <c r="C25" s="52"/>
      <c r="D25" s="52"/>
      <c r="E25" s="52"/>
      <c r="F25" s="52">
        <v>43</v>
      </c>
      <c r="G25" s="52">
        <v>61</v>
      </c>
      <c r="H25" s="52">
        <v>82</v>
      </c>
      <c r="I25" s="52">
        <v>118</v>
      </c>
      <c r="J25" s="52">
        <v>15</v>
      </c>
      <c r="K25" s="52"/>
      <c r="L25" s="52"/>
      <c r="M25" s="52"/>
      <c r="N25" s="53">
        <f t="shared" si="0"/>
        <v>319</v>
      </c>
    </row>
    <row r="26" spans="1:14" ht="16.2" x14ac:dyDescent="0.25">
      <c r="A26" s="50" t="s">
        <v>142</v>
      </c>
      <c r="B26" s="52">
        <v>9</v>
      </c>
      <c r="C26" s="52">
        <v>4</v>
      </c>
      <c r="D26" s="52">
        <v>7</v>
      </c>
      <c r="E26" s="52">
        <v>26</v>
      </c>
      <c r="F26" s="52">
        <v>25</v>
      </c>
      <c r="G26" s="52"/>
      <c r="H26" s="52"/>
      <c r="I26" s="52"/>
      <c r="J26" s="52">
        <v>31</v>
      </c>
      <c r="K26" s="52">
        <v>16</v>
      </c>
      <c r="L26" s="52">
        <v>6</v>
      </c>
      <c r="M26" s="52">
        <v>2</v>
      </c>
      <c r="N26" s="53">
        <f t="shared" si="0"/>
        <v>126</v>
      </c>
    </row>
    <row r="27" spans="1:14" ht="16.2" x14ac:dyDescent="0.25">
      <c r="A27" s="50" t="s">
        <v>143</v>
      </c>
      <c r="B27" s="52"/>
      <c r="C27" s="52"/>
      <c r="D27" s="52"/>
      <c r="E27" s="52"/>
      <c r="F27" s="52">
        <v>833</v>
      </c>
      <c r="G27" s="52">
        <v>1701</v>
      </c>
      <c r="H27" s="52">
        <v>3120</v>
      </c>
      <c r="I27" s="52">
        <v>2857</v>
      </c>
      <c r="J27" s="52">
        <v>731</v>
      </c>
      <c r="K27" s="52"/>
      <c r="L27" s="52"/>
      <c r="M27" s="52"/>
      <c r="N27" s="53">
        <f t="shared" si="0"/>
        <v>9242</v>
      </c>
    </row>
    <row r="28" spans="1:14" ht="16.2" x14ac:dyDescent="0.25">
      <c r="A28" s="50" t="s">
        <v>144</v>
      </c>
      <c r="B28" s="52">
        <v>993</v>
      </c>
      <c r="C28" s="52">
        <v>875</v>
      </c>
      <c r="D28" s="52">
        <v>1024</v>
      </c>
      <c r="E28" s="52">
        <v>1516</v>
      </c>
      <c r="F28" s="52">
        <v>833</v>
      </c>
      <c r="G28" s="52"/>
      <c r="H28" s="52"/>
      <c r="I28" s="52"/>
      <c r="J28" s="52">
        <v>885</v>
      </c>
      <c r="K28" s="52">
        <v>1148</v>
      </c>
      <c r="L28" s="52">
        <v>1112</v>
      </c>
      <c r="M28" s="52">
        <v>1177</v>
      </c>
      <c r="N28" s="53">
        <f t="shared" si="0"/>
        <v>9563</v>
      </c>
    </row>
    <row r="29" spans="1:14" ht="16.2" x14ac:dyDescent="0.25">
      <c r="A29" s="50" t="s">
        <v>145</v>
      </c>
      <c r="B29" s="52"/>
      <c r="C29" s="52"/>
      <c r="D29" s="52"/>
      <c r="E29" s="52"/>
      <c r="F29" s="52">
        <v>234</v>
      </c>
      <c r="G29" s="52">
        <v>527</v>
      </c>
      <c r="H29" s="52">
        <v>669</v>
      </c>
      <c r="I29" s="52">
        <v>661</v>
      </c>
      <c r="J29" s="52">
        <v>208</v>
      </c>
      <c r="K29" s="52"/>
      <c r="L29" s="52"/>
      <c r="M29" s="52"/>
      <c r="N29" s="53">
        <f t="shared" si="0"/>
        <v>2299</v>
      </c>
    </row>
    <row r="30" spans="1:14" ht="16.2" x14ac:dyDescent="0.25">
      <c r="A30" s="50" t="s">
        <v>146</v>
      </c>
      <c r="B30" s="52">
        <v>674</v>
      </c>
      <c r="C30" s="52">
        <v>538</v>
      </c>
      <c r="D30" s="52">
        <v>524</v>
      </c>
      <c r="E30" s="52">
        <v>499</v>
      </c>
      <c r="F30" s="52">
        <v>436</v>
      </c>
      <c r="G30" s="52"/>
      <c r="H30" s="52"/>
      <c r="I30" s="52"/>
      <c r="J30" s="52">
        <v>382</v>
      </c>
      <c r="K30" s="52">
        <v>493</v>
      </c>
      <c r="L30" s="52">
        <v>434</v>
      </c>
      <c r="M30" s="52">
        <v>463</v>
      </c>
      <c r="N30" s="53">
        <f t="shared" si="0"/>
        <v>4443</v>
      </c>
    </row>
    <row r="31" spans="1:14" ht="16.2" x14ac:dyDescent="0.25">
      <c r="A31" s="50" t="s">
        <v>91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3">
        <f t="shared" si="0"/>
        <v>0</v>
      </c>
    </row>
    <row r="32" spans="1:14" ht="16.2" x14ac:dyDescent="0.25">
      <c r="A32" s="50" t="s">
        <v>15</v>
      </c>
      <c r="B32" s="52">
        <v>900</v>
      </c>
      <c r="C32" s="52">
        <v>450</v>
      </c>
      <c r="D32" s="52">
        <v>350</v>
      </c>
      <c r="E32" s="52">
        <v>900</v>
      </c>
      <c r="F32" s="52">
        <v>1275</v>
      </c>
      <c r="G32" s="52">
        <v>1850</v>
      </c>
      <c r="H32" s="52">
        <v>2175</v>
      </c>
      <c r="I32" s="52">
        <v>1350</v>
      </c>
      <c r="J32" s="52">
        <v>1375</v>
      </c>
      <c r="K32" s="52">
        <v>650</v>
      </c>
      <c r="L32" s="52">
        <v>1125</v>
      </c>
      <c r="M32" s="52">
        <v>950</v>
      </c>
      <c r="N32" s="53">
        <f t="shared" si="0"/>
        <v>13350</v>
      </c>
    </row>
    <row r="33" spans="1:14" ht="16.2" x14ac:dyDescent="0.25">
      <c r="A33" s="33" t="s">
        <v>77</v>
      </c>
      <c r="B33" s="52">
        <v>19</v>
      </c>
      <c r="C33" s="52">
        <v>18</v>
      </c>
      <c r="D33" s="52">
        <v>20</v>
      </c>
      <c r="E33" s="52">
        <v>19</v>
      </c>
      <c r="F33" s="52">
        <v>20</v>
      </c>
      <c r="G33" s="52">
        <v>13</v>
      </c>
      <c r="H33" s="52"/>
      <c r="I33" s="52"/>
      <c r="J33" s="52">
        <v>16</v>
      </c>
      <c r="K33" s="52">
        <v>21</v>
      </c>
      <c r="L33" s="52">
        <v>18</v>
      </c>
      <c r="M33" s="52">
        <v>14</v>
      </c>
      <c r="N33" s="53">
        <f t="shared" si="0"/>
        <v>178</v>
      </c>
    </row>
    <row r="34" spans="1:14" ht="16.2" x14ac:dyDescent="0.25">
      <c r="A34" s="54" t="s">
        <v>26</v>
      </c>
      <c r="B34" s="52">
        <v>693</v>
      </c>
      <c r="C34" s="52">
        <v>593</v>
      </c>
      <c r="D34" s="52">
        <v>681</v>
      </c>
      <c r="E34" s="52">
        <v>678</v>
      </c>
      <c r="F34" s="52">
        <v>706</v>
      </c>
      <c r="G34" s="52">
        <v>694</v>
      </c>
      <c r="H34" s="52">
        <v>723</v>
      </c>
      <c r="I34" s="52">
        <v>722</v>
      </c>
      <c r="J34" s="52">
        <v>682</v>
      </c>
      <c r="K34" s="52">
        <v>718</v>
      </c>
      <c r="L34" s="52">
        <v>676</v>
      </c>
      <c r="M34" s="52">
        <v>700</v>
      </c>
      <c r="N34" s="53">
        <f t="shared" si="0"/>
        <v>8266</v>
      </c>
    </row>
    <row r="35" spans="1:14" ht="16.2" x14ac:dyDescent="0.25">
      <c r="A35" s="50" t="s">
        <v>118</v>
      </c>
      <c r="B35" s="52"/>
      <c r="C35" s="52"/>
      <c r="D35" s="52"/>
      <c r="E35" s="52"/>
      <c r="F35" s="52">
        <v>108</v>
      </c>
      <c r="G35" s="52">
        <v>313</v>
      </c>
      <c r="H35" s="52">
        <v>337</v>
      </c>
      <c r="I35" s="52">
        <v>308</v>
      </c>
      <c r="J35" s="52">
        <v>109</v>
      </c>
      <c r="K35" s="52"/>
      <c r="L35" s="52"/>
      <c r="M35" s="52"/>
      <c r="N35" s="53">
        <f t="shared" si="0"/>
        <v>1175</v>
      </c>
    </row>
    <row r="36" spans="1:14" ht="16.2" x14ac:dyDescent="0.25">
      <c r="A36" s="50" t="s">
        <v>147</v>
      </c>
      <c r="B36" s="52">
        <v>274</v>
      </c>
      <c r="C36" s="52">
        <v>243</v>
      </c>
      <c r="D36" s="52">
        <v>212</v>
      </c>
      <c r="E36" s="52">
        <v>175</v>
      </c>
      <c r="F36" s="52">
        <v>162</v>
      </c>
      <c r="G36" s="52"/>
      <c r="H36" s="52"/>
      <c r="I36" s="52"/>
      <c r="J36" s="52">
        <v>210</v>
      </c>
      <c r="K36" s="52">
        <v>308</v>
      </c>
      <c r="L36" s="52">
        <v>281</v>
      </c>
      <c r="M36" s="52">
        <v>259</v>
      </c>
      <c r="N36" s="53">
        <f t="shared" si="0"/>
        <v>2124</v>
      </c>
    </row>
    <row r="37" spans="1:14" ht="16.2" x14ac:dyDescent="0.25">
      <c r="A37" s="50" t="s">
        <v>119</v>
      </c>
      <c r="B37" s="52"/>
      <c r="C37" s="52"/>
      <c r="D37" s="52"/>
      <c r="E37" s="52"/>
      <c r="F37" s="52">
        <v>55</v>
      </c>
      <c r="G37" s="52">
        <v>120</v>
      </c>
      <c r="H37" s="52">
        <v>108</v>
      </c>
      <c r="I37" s="52">
        <v>83</v>
      </c>
      <c r="J37" s="52">
        <v>34</v>
      </c>
      <c r="K37" s="52"/>
      <c r="L37" s="52"/>
      <c r="M37" s="52"/>
      <c r="N37" s="53">
        <f t="shared" si="0"/>
        <v>400</v>
      </c>
    </row>
    <row r="38" spans="1:14" ht="16.2" x14ac:dyDescent="0.25">
      <c r="A38" s="50" t="s">
        <v>148</v>
      </c>
      <c r="B38" s="52">
        <v>78</v>
      </c>
      <c r="C38" s="52">
        <v>86</v>
      </c>
      <c r="D38" s="52">
        <v>118</v>
      </c>
      <c r="E38" s="52">
        <v>95</v>
      </c>
      <c r="F38" s="52">
        <v>82</v>
      </c>
      <c r="G38" s="52"/>
      <c r="H38" s="52"/>
      <c r="I38" s="52"/>
      <c r="J38" s="52">
        <v>84</v>
      </c>
      <c r="K38" s="52">
        <v>77</v>
      </c>
      <c r="L38" s="52">
        <v>81</v>
      </c>
      <c r="M38" s="52">
        <v>78</v>
      </c>
      <c r="N38" s="53">
        <f t="shared" si="0"/>
        <v>779</v>
      </c>
    </row>
    <row r="39" spans="1:14" ht="16.2" x14ac:dyDescent="0.25">
      <c r="A39" s="50" t="s">
        <v>120</v>
      </c>
      <c r="B39" s="52"/>
      <c r="C39" s="52"/>
      <c r="D39" s="52"/>
      <c r="E39" s="52"/>
      <c r="F39" s="52">
        <v>35</v>
      </c>
      <c r="G39" s="52">
        <v>56</v>
      </c>
      <c r="H39" s="52">
        <v>71</v>
      </c>
      <c r="I39" s="52">
        <v>62</v>
      </c>
      <c r="J39" s="52">
        <v>15</v>
      </c>
      <c r="K39" s="52"/>
      <c r="L39" s="52"/>
      <c r="M39" s="52"/>
      <c r="N39" s="53">
        <f t="shared" si="0"/>
        <v>239</v>
      </c>
    </row>
    <row r="40" spans="1:14" ht="16.2" x14ac:dyDescent="0.25">
      <c r="A40" s="50" t="s">
        <v>149</v>
      </c>
      <c r="B40" s="52">
        <v>30</v>
      </c>
      <c r="C40" s="52">
        <v>24</v>
      </c>
      <c r="D40" s="52">
        <v>34</v>
      </c>
      <c r="E40" s="52">
        <v>34</v>
      </c>
      <c r="F40" s="52">
        <v>39</v>
      </c>
      <c r="G40" s="52"/>
      <c r="H40" s="52"/>
      <c r="I40" s="52"/>
      <c r="J40" s="52">
        <v>36</v>
      </c>
      <c r="K40" s="52">
        <v>59</v>
      </c>
      <c r="L40" s="52">
        <v>31</v>
      </c>
      <c r="M40" s="52">
        <v>29</v>
      </c>
      <c r="N40" s="53">
        <f t="shared" si="0"/>
        <v>316</v>
      </c>
    </row>
    <row r="41" spans="1:14" ht="16.2" x14ac:dyDescent="0.25">
      <c r="A41" s="50" t="s">
        <v>121</v>
      </c>
      <c r="B41" s="52"/>
      <c r="C41" s="52"/>
      <c r="D41" s="52"/>
      <c r="E41" s="52"/>
      <c r="F41" s="52">
        <v>23</v>
      </c>
      <c r="G41" s="52">
        <v>70</v>
      </c>
      <c r="H41" s="52">
        <v>85</v>
      </c>
      <c r="I41" s="52">
        <v>54</v>
      </c>
      <c r="J41" s="52">
        <v>21</v>
      </c>
      <c r="K41" s="52"/>
      <c r="L41" s="52"/>
      <c r="M41" s="52"/>
      <c r="N41" s="53">
        <f t="shared" si="0"/>
        <v>253</v>
      </c>
    </row>
    <row r="42" spans="1:14" ht="16.2" x14ac:dyDescent="0.25">
      <c r="A42" s="50" t="s">
        <v>150</v>
      </c>
      <c r="B42" s="52">
        <v>32</v>
      </c>
      <c r="C42" s="52">
        <v>48</v>
      </c>
      <c r="D42" s="52">
        <v>24</v>
      </c>
      <c r="E42" s="52">
        <v>53</v>
      </c>
      <c r="F42" s="52">
        <v>47</v>
      </c>
      <c r="G42" s="52"/>
      <c r="H42" s="52"/>
      <c r="I42" s="52"/>
      <c r="J42" s="52">
        <v>44</v>
      </c>
      <c r="K42" s="52">
        <v>56</v>
      </c>
      <c r="L42" s="52">
        <v>42</v>
      </c>
      <c r="M42" s="52">
        <v>31</v>
      </c>
      <c r="N42" s="53">
        <f t="shared" si="0"/>
        <v>377</v>
      </c>
    </row>
    <row r="43" spans="1:14" ht="16.2" x14ac:dyDescent="0.25">
      <c r="A43" s="50" t="s">
        <v>122</v>
      </c>
      <c r="B43" s="52"/>
      <c r="C43" s="52"/>
      <c r="D43" s="52"/>
      <c r="E43" s="52"/>
      <c r="F43" s="52">
        <v>9</v>
      </c>
      <c r="G43" s="52">
        <v>29</v>
      </c>
      <c r="H43" s="52">
        <v>43</v>
      </c>
      <c r="I43" s="52">
        <v>32</v>
      </c>
      <c r="J43" s="52">
        <v>7</v>
      </c>
      <c r="K43" s="52"/>
      <c r="L43" s="52"/>
      <c r="M43" s="52"/>
      <c r="N43" s="53">
        <f t="shared" si="0"/>
        <v>120</v>
      </c>
    </row>
    <row r="44" spans="1:14" ht="16.2" x14ac:dyDescent="0.25">
      <c r="A44" s="50" t="s">
        <v>151</v>
      </c>
      <c r="B44" s="52">
        <v>14</v>
      </c>
      <c r="C44" s="52">
        <v>14</v>
      </c>
      <c r="D44" s="52">
        <v>17</v>
      </c>
      <c r="E44" s="52">
        <v>16</v>
      </c>
      <c r="F44" s="52">
        <v>23</v>
      </c>
      <c r="G44" s="52"/>
      <c r="H44" s="52"/>
      <c r="I44" s="52"/>
      <c r="J44" s="52">
        <v>19</v>
      </c>
      <c r="K44" s="52">
        <v>25</v>
      </c>
      <c r="L44" s="52">
        <v>11</v>
      </c>
      <c r="M44" s="52">
        <v>3</v>
      </c>
      <c r="N44" s="53">
        <f t="shared" si="0"/>
        <v>142</v>
      </c>
    </row>
    <row r="45" spans="1:14" ht="16.2" x14ac:dyDescent="0.25">
      <c r="A45" s="50" t="s">
        <v>123</v>
      </c>
      <c r="B45" s="52"/>
      <c r="C45" s="52"/>
      <c r="D45" s="52"/>
      <c r="E45" s="52"/>
      <c r="F45" s="52">
        <v>3</v>
      </c>
      <c r="G45" s="52">
        <v>9</v>
      </c>
      <c r="H45" s="52">
        <v>20</v>
      </c>
      <c r="I45" s="52">
        <v>17</v>
      </c>
      <c r="J45" s="52">
        <v>6</v>
      </c>
      <c r="K45" s="52"/>
      <c r="L45" s="52"/>
      <c r="M45" s="52"/>
      <c r="N45" s="53">
        <f t="shared" si="0"/>
        <v>55</v>
      </c>
    </row>
    <row r="46" spans="1:14" ht="16.2" x14ac:dyDescent="0.25">
      <c r="A46" s="50" t="s">
        <v>152</v>
      </c>
      <c r="B46" s="52">
        <v>7</v>
      </c>
      <c r="C46" s="52">
        <v>9</v>
      </c>
      <c r="D46" s="52">
        <v>6</v>
      </c>
      <c r="E46" s="52">
        <v>5</v>
      </c>
      <c r="F46" s="52">
        <v>4</v>
      </c>
      <c r="G46" s="52"/>
      <c r="H46" s="52"/>
      <c r="I46" s="52"/>
      <c r="J46" s="52">
        <v>4</v>
      </c>
      <c r="K46" s="52">
        <v>8</v>
      </c>
      <c r="L46" s="52">
        <v>7</v>
      </c>
      <c r="M46" s="52">
        <v>6</v>
      </c>
      <c r="N46" s="53">
        <f t="shared" si="0"/>
        <v>56</v>
      </c>
    </row>
    <row r="47" spans="1:14" ht="16.2" x14ac:dyDescent="0.25">
      <c r="A47" s="50" t="s">
        <v>124</v>
      </c>
      <c r="B47" s="52"/>
      <c r="C47" s="52"/>
      <c r="D47" s="52"/>
      <c r="E47" s="52"/>
      <c r="F47" s="52">
        <v>1</v>
      </c>
      <c r="G47" s="52">
        <v>5</v>
      </c>
      <c r="H47" s="52">
        <v>8</v>
      </c>
      <c r="I47" s="52">
        <v>8</v>
      </c>
      <c r="J47" s="52">
        <v>4</v>
      </c>
      <c r="K47" s="52"/>
      <c r="L47" s="52"/>
      <c r="M47" s="52"/>
      <c r="N47" s="53">
        <f t="shared" si="0"/>
        <v>26</v>
      </c>
    </row>
    <row r="48" spans="1:14" ht="16.2" x14ac:dyDescent="0.25">
      <c r="A48" s="50" t="s">
        <v>153</v>
      </c>
      <c r="B48" s="52">
        <v>3</v>
      </c>
      <c r="C48" s="52">
        <v>2</v>
      </c>
      <c r="D48" s="52">
        <v>4</v>
      </c>
      <c r="E48" s="52">
        <v>2</v>
      </c>
      <c r="F48" s="52"/>
      <c r="G48" s="52"/>
      <c r="H48" s="52"/>
      <c r="I48" s="52"/>
      <c r="J48" s="52">
        <v>1</v>
      </c>
      <c r="K48" s="52">
        <v>2</v>
      </c>
      <c r="L48" s="52">
        <v>2</v>
      </c>
      <c r="M48" s="52">
        <v>1</v>
      </c>
      <c r="N48" s="53">
        <f t="shared" si="0"/>
        <v>17</v>
      </c>
    </row>
    <row r="49" spans="1:14" ht="16.2" x14ac:dyDescent="0.25">
      <c r="A49" s="50" t="s">
        <v>125</v>
      </c>
      <c r="B49" s="52"/>
      <c r="C49" s="52"/>
      <c r="D49" s="52"/>
      <c r="E49" s="52"/>
      <c r="F49" s="52">
        <v>2</v>
      </c>
      <c r="G49" s="52">
        <v>3</v>
      </c>
      <c r="H49" s="52">
        <v>3</v>
      </c>
      <c r="I49" s="52">
        <v>1</v>
      </c>
      <c r="J49" s="52">
        <v>2</v>
      </c>
      <c r="K49" s="52"/>
      <c r="L49" s="52"/>
      <c r="M49" s="52"/>
      <c r="N49" s="53">
        <f t="shared" si="0"/>
        <v>11</v>
      </c>
    </row>
    <row r="50" spans="1:14" ht="16.2" x14ac:dyDescent="0.25">
      <c r="A50" s="50" t="s">
        <v>154</v>
      </c>
      <c r="B50" s="52">
        <v>1</v>
      </c>
      <c r="C50" s="52">
        <v>6</v>
      </c>
      <c r="D50" s="52">
        <v>4</v>
      </c>
      <c r="E50" s="52">
        <v>2</v>
      </c>
      <c r="F50" s="52"/>
      <c r="G50" s="52"/>
      <c r="H50" s="52"/>
      <c r="I50" s="52"/>
      <c r="J50" s="52">
        <v>5</v>
      </c>
      <c r="K50" s="52">
        <v>3</v>
      </c>
      <c r="L50" s="52">
        <v>1</v>
      </c>
      <c r="M50" s="52">
        <v>4</v>
      </c>
      <c r="N50" s="53">
        <f t="shared" si="0"/>
        <v>26</v>
      </c>
    </row>
    <row r="51" spans="1:14" ht="16.2" x14ac:dyDescent="0.25">
      <c r="A51" s="50" t="s">
        <v>126</v>
      </c>
      <c r="B51" s="52"/>
      <c r="C51" s="52"/>
      <c r="D51" s="52"/>
      <c r="E51" s="52"/>
      <c r="F51" s="52">
        <v>1</v>
      </c>
      <c r="G51" s="52">
        <v>6</v>
      </c>
      <c r="H51" s="52">
        <v>1</v>
      </c>
      <c r="I51" s="52">
        <v>8</v>
      </c>
      <c r="J51" s="52">
        <v>4</v>
      </c>
      <c r="K51" s="52"/>
      <c r="L51" s="52"/>
      <c r="M51" s="52"/>
      <c r="N51" s="53">
        <f t="shared" si="0"/>
        <v>20</v>
      </c>
    </row>
    <row r="52" spans="1:14" ht="16.2" x14ac:dyDescent="0.25">
      <c r="A52" s="51" t="s">
        <v>155</v>
      </c>
      <c r="B52" s="52">
        <v>4</v>
      </c>
      <c r="C52" s="52">
        <v>5</v>
      </c>
      <c r="D52" s="52"/>
      <c r="E52" s="52">
        <v>2</v>
      </c>
      <c r="F52" s="52">
        <v>4</v>
      </c>
      <c r="G52" s="52"/>
      <c r="H52" s="52"/>
      <c r="I52" s="52"/>
      <c r="J52" s="52">
        <v>6</v>
      </c>
      <c r="K52" s="52">
        <v>7</v>
      </c>
      <c r="L52" s="52">
        <v>7</v>
      </c>
      <c r="M52" s="52">
        <v>2</v>
      </c>
      <c r="N52" s="53">
        <f t="shared" si="0"/>
        <v>37</v>
      </c>
    </row>
    <row r="53" spans="1:14" x14ac:dyDescent="0.25">
      <c r="N53">
        <f t="shared" si="0"/>
        <v>0</v>
      </c>
    </row>
    <row r="55" spans="1:14" ht="16.2" x14ac:dyDescent="0.25">
      <c r="A55" s="39" t="s">
        <v>175</v>
      </c>
      <c r="B55" s="40">
        <f>+B4+B5+B6+B7+B9+B10</f>
        <v>4123</v>
      </c>
      <c r="C55" s="40">
        <f t="shared" ref="C55:N55" si="1">+C4+C5+C6+C7+C9+C10</f>
        <v>2578</v>
      </c>
      <c r="D55" s="40">
        <f t="shared" si="1"/>
        <v>3327</v>
      </c>
      <c r="E55" s="40">
        <f t="shared" si="1"/>
        <v>2131</v>
      </c>
      <c r="F55" s="40">
        <f t="shared" si="1"/>
        <v>5038</v>
      </c>
      <c r="G55" s="40">
        <f t="shared" si="1"/>
        <v>4191</v>
      </c>
      <c r="H55" s="40">
        <f t="shared" si="1"/>
        <v>4616</v>
      </c>
      <c r="I55" s="40">
        <f t="shared" si="1"/>
        <v>4330</v>
      </c>
      <c r="J55" s="40">
        <f t="shared" si="1"/>
        <v>3663</v>
      </c>
      <c r="K55" s="40">
        <f t="shared" si="1"/>
        <v>3235</v>
      </c>
      <c r="L55" s="40">
        <f t="shared" si="1"/>
        <v>3384</v>
      </c>
      <c r="M55" s="40">
        <f t="shared" si="1"/>
        <v>3607</v>
      </c>
      <c r="N55" s="40">
        <f t="shared" si="1"/>
        <v>44223</v>
      </c>
    </row>
    <row r="56" spans="1:14" ht="16.2" x14ac:dyDescent="0.25">
      <c r="A56" s="39" t="s">
        <v>157</v>
      </c>
      <c r="B56" s="40">
        <f>+B8+B13+B32</f>
        <v>3180</v>
      </c>
      <c r="C56" s="40">
        <f t="shared" ref="C56:N56" si="2">+C8+C13+C32</f>
        <v>1867</v>
      </c>
      <c r="D56" s="40">
        <f t="shared" si="2"/>
        <v>2272</v>
      </c>
      <c r="E56" s="40">
        <f t="shared" si="2"/>
        <v>3230</v>
      </c>
      <c r="F56" s="40">
        <f t="shared" si="2"/>
        <v>4701</v>
      </c>
      <c r="G56" s="40">
        <f t="shared" si="2"/>
        <v>4774</v>
      </c>
      <c r="H56" s="40">
        <f t="shared" si="2"/>
        <v>5103</v>
      </c>
      <c r="I56" s="40">
        <f t="shared" si="2"/>
        <v>3782</v>
      </c>
      <c r="J56" s="40">
        <f t="shared" si="2"/>
        <v>3559</v>
      </c>
      <c r="K56" s="40">
        <f t="shared" si="2"/>
        <v>2526</v>
      </c>
      <c r="L56" s="40">
        <f t="shared" si="2"/>
        <v>2815</v>
      </c>
      <c r="M56" s="40">
        <f t="shared" si="2"/>
        <v>2628</v>
      </c>
      <c r="N56" s="40">
        <f t="shared" si="2"/>
        <v>40437</v>
      </c>
    </row>
    <row r="57" spans="1:14" ht="16.2" x14ac:dyDescent="0.25">
      <c r="A57" s="33" t="s">
        <v>50</v>
      </c>
      <c r="B57" s="40">
        <f>B4+B5+B6+B7+B9+B10+B16+B17+B20+B21+B23+B24+B29+B30+B35+B36+B37+B38+B39+B40+B41+B42+B43+B44+B45+B46+B47+B48+B49+B50+B51+B52</f>
        <v>8366</v>
      </c>
      <c r="C57" s="40">
        <f t="shared" ref="C57:N57" si="3">C4+C5+C6+C7+C9+C10+C16+C17+C20+C21+C23+C24+C29+C30+C35+C36+C37+C38+C39+C40+C41+C42+C43+C44+C45+C46+C47+C48+C49+C50+C51+C52</f>
        <v>6314</v>
      </c>
      <c r="D57" s="40">
        <f t="shared" si="3"/>
        <v>7463</v>
      </c>
      <c r="E57" s="40">
        <f t="shared" si="3"/>
        <v>5367</v>
      </c>
      <c r="F57" s="40">
        <f t="shared" si="3"/>
        <v>9981</v>
      </c>
      <c r="G57" s="40">
        <f t="shared" si="3"/>
        <v>8249</v>
      </c>
      <c r="H57" s="40">
        <f t="shared" si="3"/>
        <v>9972</v>
      </c>
      <c r="I57" s="40">
        <f t="shared" si="3"/>
        <v>9335</v>
      </c>
      <c r="J57" s="40">
        <f t="shared" si="3"/>
        <v>8059</v>
      </c>
      <c r="K57" s="40">
        <f t="shared" si="3"/>
        <v>7564</v>
      </c>
      <c r="L57" s="40">
        <f t="shared" si="3"/>
        <v>7110</v>
      </c>
      <c r="M57" s="40">
        <f t="shared" si="3"/>
        <v>7470</v>
      </c>
      <c r="N57" s="40">
        <f t="shared" si="3"/>
        <v>95250</v>
      </c>
    </row>
    <row r="58" spans="1:14" ht="16.2" x14ac:dyDescent="0.25">
      <c r="A58" s="33" t="s">
        <v>28</v>
      </c>
      <c r="B58" s="40">
        <f>SUM(B4:B52)-B22-B31-B33-B19</f>
        <v>15438</v>
      </c>
      <c r="C58" s="40">
        <f t="shared" ref="C58:M58" si="4">SUM(C4:C52)-C22-C31-C33-C19</f>
        <v>11991</v>
      </c>
      <c r="D58" s="40">
        <f t="shared" si="4"/>
        <v>14085</v>
      </c>
      <c r="E58" s="40">
        <f t="shared" si="4"/>
        <v>14602</v>
      </c>
      <c r="F58" s="40">
        <f t="shared" si="4"/>
        <v>20844</v>
      </c>
      <c r="G58" s="40">
        <f t="shared" si="4"/>
        <v>19339</v>
      </c>
      <c r="H58" s="40">
        <f t="shared" si="4"/>
        <v>24839</v>
      </c>
      <c r="I58" s="40">
        <f t="shared" si="4"/>
        <v>21971</v>
      </c>
      <c r="J58" s="40">
        <f t="shared" si="4"/>
        <v>17769</v>
      </c>
      <c r="K58" s="40">
        <f t="shared" si="4"/>
        <v>14795</v>
      </c>
      <c r="L58" s="40">
        <f t="shared" si="4"/>
        <v>14102</v>
      </c>
      <c r="M58" s="40">
        <f t="shared" si="4"/>
        <v>14386</v>
      </c>
      <c r="N58" s="40">
        <f>SUM(N4:N52)-N22-N31-N33-N19</f>
        <v>204161</v>
      </c>
    </row>
    <row r="59" spans="1:14" ht="16.2" x14ac:dyDescent="0.25">
      <c r="A59" s="33" t="s">
        <v>46</v>
      </c>
      <c r="B59" s="40">
        <f>SUM(B4:B52)-B22-B31-B33-B34-B19</f>
        <v>14745</v>
      </c>
      <c r="C59" s="40">
        <f t="shared" ref="C59:M59" si="5">SUM(C4:C52)-C22-C31-C33-C34-C19</f>
        <v>11398</v>
      </c>
      <c r="D59" s="40">
        <f t="shared" si="5"/>
        <v>13404</v>
      </c>
      <c r="E59" s="40">
        <f t="shared" si="5"/>
        <v>13924</v>
      </c>
      <c r="F59" s="40">
        <f t="shared" si="5"/>
        <v>20138</v>
      </c>
      <c r="G59" s="40">
        <f t="shared" si="5"/>
        <v>18645</v>
      </c>
      <c r="H59" s="40">
        <f t="shared" si="5"/>
        <v>24116</v>
      </c>
      <c r="I59" s="40">
        <f t="shared" si="5"/>
        <v>21249</v>
      </c>
      <c r="J59" s="40">
        <f t="shared" si="5"/>
        <v>17087</v>
      </c>
      <c r="K59" s="40">
        <f t="shared" si="5"/>
        <v>14077</v>
      </c>
      <c r="L59" s="40">
        <f t="shared" si="5"/>
        <v>13426</v>
      </c>
      <c r="M59" s="40">
        <f t="shared" si="5"/>
        <v>13686</v>
      </c>
      <c r="N59" s="40">
        <f>SUM(N4:N52)-N22-N31-N33-N34</f>
        <v>196073</v>
      </c>
    </row>
    <row r="60" spans="1:14" ht="16.2" x14ac:dyDescent="0.25">
      <c r="A60" s="33" t="s">
        <v>52</v>
      </c>
      <c r="B60" s="40">
        <f>+B8+B11+B12+B13+B14+B15+B25+B26+B27+B28+B32</f>
        <v>6378</v>
      </c>
      <c r="C60" s="40">
        <f t="shared" ref="C60:N60" si="6">+C8+C11+C12+C13+C14+C15+C25+C26+C27+C28+C32</f>
        <v>5083</v>
      </c>
      <c r="D60" s="40">
        <f t="shared" si="6"/>
        <v>5939</v>
      </c>
      <c r="E60" s="40">
        <f t="shared" si="6"/>
        <v>8556</v>
      </c>
      <c r="F60" s="40">
        <f t="shared" si="6"/>
        <v>10155</v>
      </c>
      <c r="G60" s="40">
        <f t="shared" si="6"/>
        <v>10395</v>
      </c>
      <c r="H60" s="40">
        <f t="shared" si="6"/>
        <v>14141</v>
      </c>
      <c r="I60" s="40">
        <f t="shared" si="6"/>
        <v>11913</v>
      </c>
      <c r="J60" s="40">
        <f t="shared" si="6"/>
        <v>9026</v>
      </c>
      <c r="K60" s="40">
        <f t="shared" si="6"/>
        <v>6511</v>
      </c>
      <c r="L60" s="40">
        <f t="shared" si="6"/>
        <v>6316</v>
      </c>
      <c r="M60" s="40">
        <f>+M8+M11+M12+M13+M14+M15+M25+M26+M27+M28+M32</f>
        <v>6214</v>
      </c>
      <c r="N60" s="40">
        <f t="shared" si="6"/>
        <v>100627</v>
      </c>
    </row>
    <row r="61" spans="1:14" ht="16.2" x14ac:dyDescent="0.25">
      <c r="A61" s="36" t="s">
        <v>158</v>
      </c>
      <c r="B61" s="18">
        <f>SUM(B4:B52)</f>
        <v>15478</v>
      </c>
      <c r="C61" s="18">
        <f t="shared" ref="C61:M61" si="7">SUM(C4:C52)</f>
        <v>12033</v>
      </c>
      <c r="D61" s="18">
        <f t="shared" si="7"/>
        <v>14125</v>
      </c>
      <c r="E61" s="18">
        <f t="shared" si="7"/>
        <v>14642</v>
      </c>
      <c r="F61" s="18">
        <f t="shared" si="7"/>
        <v>20888</v>
      </c>
      <c r="G61" s="18">
        <f t="shared" si="7"/>
        <v>19372</v>
      </c>
      <c r="H61" s="18">
        <f t="shared" si="7"/>
        <v>24839</v>
      </c>
      <c r="I61" s="18">
        <f t="shared" si="7"/>
        <v>21976</v>
      </c>
      <c r="J61" s="18">
        <f t="shared" si="7"/>
        <v>17809</v>
      </c>
      <c r="K61" s="18">
        <f t="shared" si="7"/>
        <v>14841</v>
      </c>
      <c r="L61" s="18">
        <f t="shared" si="7"/>
        <v>14144</v>
      </c>
      <c r="M61" s="18">
        <f t="shared" si="7"/>
        <v>14415</v>
      </c>
      <c r="N61" s="18">
        <f>SUM(N4:N53)</f>
        <v>204562</v>
      </c>
    </row>
    <row r="65" spans="1:14" ht="16.2" x14ac:dyDescent="0.25">
      <c r="A65" s="39" t="s">
        <v>179</v>
      </c>
      <c r="B65" s="40">
        <f>+B4+B6+B5+B7+B9+B10</f>
        <v>4123</v>
      </c>
      <c r="C65" s="40">
        <f t="shared" ref="C65:M65" si="8">+C4+C6+C5+C7+C9+C10</f>
        <v>2578</v>
      </c>
      <c r="D65" s="40">
        <f t="shared" si="8"/>
        <v>3327</v>
      </c>
      <c r="E65" s="40">
        <f t="shared" si="8"/>
        <v>2131</v>
      </c>
      <c r="F65" s="40">
        <f t="shared" si="8"/>
        <v>5038</v>
      </c>
      <c r="G65" s="40">
        <f t="shared" si="8"/>
        <v>4191</v>
      </c>
      <c r="H65" s="40">
        <f t="shared" si="8"/>
        <v>4616</v>
      </c>
      <c r="I65" s="40">
        <f t="shared" si="8"/>
        <v>4330</v>
      </c>
      <c r="J65" s="40">
        <f t="shared" si="8"/>
        <v>3663</v>
      </c>
      <c r="K65" s="40">
        <f t="shared" si="8"/>
        <v>3235</v>
      </c>
      <c r="L65" s="40">
        <f t="shared" si="8"/>
        <v>3384</v>
      </c>
      <c r="M65" s="40">
        <f t="shared" si="8"/>
        <v>3607</v>
      </c>
      <c r="N65" s="40">
        <f>SUM(B65:M65)</f>
        <v>44223</v>
      </c>
    </row>
    <row r="66" spans="1:14" ht="16.2" x14ac:dyDescent="0.25">
      <c r="A66" s="39" t="s">
        <v>177</v>
      </c>
      <c r="B66" s="40">
        <f>+B16+B17+B29+B30</f>
        <v>3768</v>
      </c>
      <c r="C66" s="40">
        <f t="shared" ref="C66:M66" si="9">+C16+C17+C29+C30</f>
        <v>3252</v>
      </c>
      <c r="D66" s="40">
        <f t="shared" si="9"/>
        <v>3665</v>
      </c>
      <c r="E66" s="40">
        <f t="shared" si="9"/>
        <v>2770</v>
      </c>
      <c r="F66" s="40">
        <f t="shared" si="9"/>
        <v>4240</v>
      </c>
      <c r="G66" s="40">
        <f t="shared" si="9"/>
        <v>3377</v>
      </c>
      <c r="H66" s="40">
        <f t="shared" si="9"/>
        <v>4582</v>
      </c>
      <c r="I66" s="40">
        <f t="shared" si="9"/>
        <v>4340</v>
      </c>
      <c r="J66" s="40">
        <f t="shared" si="9"/>
        <v>3664</v>
      </c>
      <c r="K66" s="40">
        <f t="shared" si="9"/>
        <v>3727</v>
      </c>
      <c r="L66" s="40">
        <f t="shared" si="9"/>
        <v>3214</v>
      </c>
      <c r="M66" s="40">
        <f t="shared" si="9"/>
        <v>3435</v>
      </c>
      <c r="N66" s="40">
        <f t="shared" ref="N66:N71" si="10">SUM(B66:M66)</f>
        <v>44034</v>
      </c>
    </row>
    <row r="67" spans="1:14" ht="16.2" x14ac:dyDescent="0.25">
      <c r="A67" s="33" t="s">
        <v>178</v>
      </c>
      <c r="B67" s="40">
        <f>+B20+B21+B23+B24</f>
        <v>32</v>
      </c>
      <c r="C67" s="40">
        <f t="shared" ref="C67:M67" si="11">+C20+C21+C23+C24</f>
        <v>47</v>
      </c>
      <c r="D67" s="40">
        <f t="shared" si="11"/>
        <v>52</v>
      </c>
      <c r="E67" s="40">
        <f t="shared" si="11"/>
        <v>82</v>
      </c>
      <c r="F67" s="40">
        <f t="shared" si="11"/>
        <v>105</v>
      </c>
      <c r="G67" s="40">
        <f t="shared" si="11"/>
        <v>70</v>
      </c>
      <c r="H67" s="40">
        <f t="shared" si="11"/>
        <v>98</v>
      </c>
      <c r="I67" s="40">
        <f t="shared" si="11"/>
        <v>92</v>
      </c>
      <c r="J67" s="40">
        <f t="shared" si="11"/>
        <v>121</v>
      </c>
      <c r="K67" s="40">
        <f t="shared" si="11"/>
        <v>57</v>
      </c>
      <c r="L67" s="40">
        <f t="shared" si="11"/>
        <v>49</v>
      </c>
      <c r="M67" s="40">
        <f t="shared" si="11"/>
        <v>15</v>
      </c>
      <c r="N67" s="40">
        <f t="shared" si="10"/>
        <v>820</v>
      </c>
    </row>
    <row r="68" spans="1:14" ht="16.2" x14ac:dyDescent="0.25">
      <c r="A68" s="33" t="s">
        <v>180</v>
      </c>
      <c r="B68" s="40">
        <f>+B35+B36+B37+B38+B39+B40+B41+B42+B43+B44+B45+B46+B47+B48+B49+B50+B51+B52</f>
        <v>443</v>
      </c>
      <c r="C68" s="40">
        <f t="shared" ref="C68:M68" si="12">+C35+C36+C37+C38+C39+C40+C41+C42+C43+C44+C45+C46+C47+C48+C49+C50+C51+C52</f>
        <v>437</v>
      </c>
      <c r="D68" s="40">
        <f t="shared" si="12"/>
        <v>419</v>
      </c>
      <c r="E68" s="40">
        <f t="shared" si="12"/>
        <v>384</v>
      </c>
      <c r="F68" s="40">
        <f t="shared" si="12"/>
        <v>598</v>
      </c>
      <c r="G68" s="40">
        <f t="shared" si="12"/>
        <v>611</v>
      </c>
      <c r="H68" s="40">
        <f t="shared" si="12"/>
        <v>676</v>
      </c>
      <c r="I68" s="40">
        <f t="shared" si="12"/>
        <v>573</v>
      </c>
      <c r="J68" s="40">
        <f t="shared" si="12"/>
        <v>611</v>
      </c>
      <c r="K68" s="40">
        <f t="shared" si="12"/>
        <v>545</v>
      </c>
      <c r="L68" s="40">
        <f t="shared" si="12"/>
        <v>463</v>
      </c>
      <c r="M68" s="40">
        <f t="shared" si="12"/>
        <v>413</v>
      </c>
      <c r="N68" s="40">
        <f t="shared" si="10"/>
        <v>6173</v>
      </c>
    </row>
    <row r="69" spans="1:14" ht="16.2" x14ac:dyDescent="0.25">
      <c r="A69" s="33" t="s">
        <v>157</v>
      </c>
      <c r="B69" s="40">
        <f>+B8+B13+B32</f>
        <v>3180</v>
      </c>
      <c r="C69" s="40">
        <f t="shared" ref="C69:M69" si="13">+C8+C13+C32</f>
        <v>1867</v>
      </c>
      <c r="D69" s="40">
        <f t="shared" si="13"/>
        <v>2272</v>
      </c>
      <c r="E69" s="40">
        <f t="shared" si="13"/>
        <v>3230</v>
      </c>
      <c r="F69" s="40">
        <f t="shared" si="13"/>
        <v>4701</v>
      </c>
      <c r="G69" s="40">
        <f t="shared" si="13"/>
        <v>4774</v>
      </c>
      <c r="H69" s="40">
        <f t="shared" si="13"/>
        <v>5103</v>
      </c>
      <c r="I69" s="40">
        <f t="shared" si="13"/>
        <v>3782</v>
      </c>
      <c r="J69" s="40">
        <f t="shared" si="13"/>
        <v>3559</v>
      </c>
      <c r="K69" s="40">
        <f t="shared" si="13"/>
        <v>2526</v>
      </c>
      <c r="L69" s="40">
        <f t="shared" si="13"/>
        <v>2815</v>
      </c>
      <c r="M69" s="40">
        <f t="shared" si="13"/>
        <v>2628</v>
      </c>
      <c r="N69" s="40">
        <f t="shared" si="10"/>
        <v>40437</v>
      </c>
    </row>
    <row r="70" spans="1:14" ht="16.2" x14ac:dyDescent="0.25">
      <c r="A70" s="33" t="s">
        <v>181</v>
      </c>
      <c r="B70" s="40">
        <f>+B14+B15+B27+B28</f>
        <v>3132</v>
      </c>
      <c r="C70" s="40">
        <f t="shared" ref="C70:M70" si="14">+C14+C15+C27+C28</f>
        <v>3155</v>
      </c>
      <c r="D70" s="40">
        <f t="shared" si="14"/>
        <v>3608</v>
      </c>
      <c r="E70" s="40">
        <f t="shared" si="14"/>
        <v>5134</v>
      </c>
      <c r="F70" s="40">
        <f t="shared" si="14"/>
        <v>5225</v>
      </c>
      <c r="G70" s="40">
        <f t="shared" si="14"/>
        <v>5346</v>
      </c>
      <c r="H70" s="40">
        <f t="shared" si="14"/>
        <v>8665</v>
      </c>
      <c r="I70" s="40">
        <f t="shared" si="14"/>
        <v>7698</v>
      </c>
      <c r="J70" s="40">
        <f t="shared" si="14"/>
        <v>5189</v>
      </c>
      <c r="K70" s="40">
        <f t="shared" si="14"/>
        <v>3891</v>
      </c>
      <c r="L70" s="40">
        <f t="shared" si="14"/>
        <v>3456</v>
      </c>
      <c r="M70" s="40">
        <f t="shared" si="14"/>
        <v>3559</v>
      </c>
      <c r="N70" s="40">
        <f t="shared" si="10"/>
        <v>58058</v>
      </c>
    </row>
    <row r="71" spans="1:14" ht="16.2" x14ac:dyDescent="0.25">
      <c r="A71" s="33" t="s">
        <v>182</v>
      </c>
      <c r="B71" s="40">
        <f>+B11+B12+B25+B26</f>
        <v>66</v>
      </c>
      <c r="C71" s="40">
        <f t="shared" ref="C71:L71" si="15">+C11+C12+C25+C26</f>
        <v>61</v>
      </c>
      <c r="D71" s="40">
        <f t="shared" si="15"/>
        <v>59</v>
      </c>
      <c r="E71" s="40">
        <f t="shared" si="15"/>
        <v>192</v>
      </c>
      <c r="F71" s="40">
        <f t="shared" si="15"/>
        <v>229</v>
      </c>
      <c r="G71" s="40">
        <f t="shared" si="15"/>
        <v>275</v>
      </c>
      <c r="H71" s="40">
        <f t="shared" si="15"/>
        <v>373</v>
      </c>
      <c r="I71" s="40">
        <f t="shared" si="15"/>
        <v>433</v>
      </c>
      <c r="J71" s="40">
        <f t="shared" si="15"/>
        <v>278</v>
      </c>
      <c r="K71" s="40">
        <f t="shared" si="15"/>
        <v>94</v>
      </c>
      <c r="L71" s="40">
        <f t="shared" si="15"/>
        <v>45</v>
      </c>
      <c r="M71" s="40">
        <f>+M11+M12+M25+M26</f>
        <v>27</v>
      </c>
      <c r="N71" s="40">
        <f t="shared" si="10"/>
        <v>2132</v>
      </c>
    </row>
  </sheetData>
  <phoneticPr fontId="13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16"/>
  <sheetViews>
    <sheetView workbookViewId="0">
      <selection activeCell="C14" sqref="C14"/>
    </sheetView>
  </sheetViews>
  <sheetFormatPr defaultRowHeight="15" x14ac:dyDescent="0.25"/>
  <cols>
    <col min="1" max="1" width="12.25" style="60" customWidth="1"/>
    <col min="2" max="2" width="1.9140625" customWidth="1"/>
    <col min="3" max="3" width="15.75" style="42" customWidth="1"/>
    <col min="4" max="4" width="1.9140625" style="42" customWidth="1"/>
    <col min="5" max="14" width="15.75" style="42" customWidth="1"/>
  </cols>
  <sheetData>
    <row r="1" spans="1:6" x14ac:dyDescent="0.25">
      <c r="C1" s="43" t="s">
        <v>176</v>
      </c>
      <c r="D1" s="43"/>
      <c r="E1" s="43" t="s">
        <v>173</v>
      </c>
      <c r="F1" s="43" t="s">
        <v>174</v>
      </c>
    </row>
    <row r="3" spans="1:6" x14ac:dyDescent="0.25">
      <c r="A3" s="64">
        <v>39448</v>
      </c>
      <c r="C3" s="61">
        <v>14417</v>
      </c>
      <c r="E3" s="62">
        <f>'2008'!B64</f>
        <v>13264</v>
      </c>
      <c r="F3" s="61">
        <f t="shared" ref="F3:F14" si="0">E3-C3</f>
        <v>-1153</v>
      </c>
    </row>
    <row r="4" spans="1:6" x14ac:dyDescent="0.25">
      <c r="A4" s="64">
        <v>39479</v>
      </c>
      <c r="C4" s="61">
        <v>14129</v>
      </c>
      <c r="E4" s="62">
        <f>'2008'!C64</f>
        <v>12418</v>
      </c>
      <c r="F4" s="61">
        <f t="shared" si="0"/>
        <v>-1711</v>
      </c>
    </row>
    <row r="5" spans="1:6" x14ac:dyDescent="0.25">
      <c r="A5" s="64">
        <v>39508</v>
      </c>
      <c r="C5" s="61">
        <v>16127</v>
      </c>
      <c r="E5" s="62">
        <f>'2008'!D64</f>
        <v>13137</v>
      </c>
      <c r="F5" s="61">
        <f t="shared" si="0"/>
        <v>-2990</v>
      </c>
    </row>
    <row r="6" spans="1:6" x14ac:dyDescent="0.25">
      <c r="A6" s="64">
        <v>39539</v>
      </c>
      <c r="C6" s="61">
        <v>16131</v>
      </c>
      <c r="E6" s="62">
        <f>'2008'!E64</f>
        <v>13708</v>
      </c>
      <c r="F6" s="61">
        <f t="shared" si="0"/>
        <v>-2423</v>
      </c>
    </row>
    <row r="7" spans="1:6" x14ac:dyDescent="0.25">
      <c r="A7" s="64">
        <v>39569</v>
      </c>
      <c r="C7" s="61">
        <v>17632</v>
      </c>
      <c r="E7" s="62">
        <f>'2008'!F64</f>
        <v>18501</v>
      </c>
      <c r="F7" s="61">
        <f t="shared" si="0"/>
        <v>869</v>
      </c>
    </row>
    <row r="8" spans="1:6" x14ac:dyDescent="0.25">
      <c r="A8" s="64">
        <v>39600</v>
      </c>
      <c r="C8" s="61">
        <v>19291</v>
      </c>
      <c r="E8" s="62">
        <f>'2008'!G64</f>
        <v>16710</v>
      </c>
      <c r="F8" s="61">
        <f t="shared" si="0"/>
        <v>-2581</v>
      </c>
    </row>
    <row r="9" spans="1:6" x14ac:dyDescent="0.25">
      <c r="A9" s="64">
        <v>39630</v>
      </c>
      <c r="C9" s="61">
        <v>23622</v>
      </c>
      <c r="E9" s="62">
        <f>'2008'!H64</f>
        <v>21669</v>
      </c>
      <c r="F9" s="61">
        <f t="shared" si="0"/>
        <v>-1953</v>
      </c>
    </row>
    <row r="10" spans="1:6" x14ac:dyDescent="0.25">
      <c r="A10" s="64">
        <v>39661</v>
      </c>
      <c r="C10" s="61">
        <v>23595</v>
      </c>
      <c r="E10" s="62">
        <f>'2008'!I64</f>
        <v>21017</v>
      </c>
      <c r="F10" s="61">
        <f t="shared" si="0"/>
        <v>-2578</v>
      </c>
    </row>
    <row r="11" spans="1:6" x14ac:dyDescent="0.25">
      <c r="A11" s="64">
        <v>39692</v>
      </c>
      <c r="C11" s="61">
        <v>17940</v>
      </c>
      <c r="E11" s="62">
        <f>'2008'!J64</f>
        <v>14561</v>
      </c>
      <c r="F11" s="61">
        <f t="shared" si="0"/>
        <v>-3379</v>
      </c>
    </row>
    <row r="12" spans="1:6" x14ac:dyDescent="0.25">
      <c r="A12" s="64">
        <v>39722</v>
      </c>
      <c r="C12" s="61">
        <v>16989</v>
      </c>
      <c r="E12" s="62">
        <f>'2008'!K64</f>
        <v>12330</v>
      </c>
      <c r="F12" s="61">
        <f t="shared" si="0"/>
        <v>-4659</v>
      </c>
    </row>
    <row r="13" spans="1:6" x14ac:dyDescent="0.25">
      <c r="A13" s="64">
        <v>39753</v>
      </c>
      <c r="C13" s="61">
        <v>15176</v>
      </c>
      <c r="E13" s="62">
        <f>'2008'!L64</f>
        <v>11016</v>
      </c>
      <c r="F13" s="61">
        <f t="shared" si="0"/>
        <v>-4160</v>
      </c>
    </row>
    <row r="14" spans="1:6" x14ac:dyDescent="0.25">
      <c r="A14" s="64">
        <v>39783</v>
      </c>
      <c r="C14" s="61">
        <v>12682</v>
      </c>
      <c r="E14" s="62">
        <f>'2008'!M64</f>
        <v>9083</v>
      </c>
      <c r="F14" s="61">
        <f t="shared" si="0"/>
        <v>-3599</v>
      </c>
    </row>
    <row r="15" spans="1:6" x14ac:dyDescent="0.25">
      <c r="E15" s="62"/>
      <c r="F15" s="61"/>
    </row>
    <row r="16" spans="1:6" x14ac:dyDescent="0.25">
      <c r="A16" s="63" t="s">
        <v>172</v>
      </c>
      <c r="C16" s="61">
        <f>SUM(C3:C14)</f>
        <v>207731</v>
      </c>
      <c r="E16" s="62">
        <f>SUM(E3:E15)</f>
        <v>177414</v>
      </c>
      <c r="F16" s="61">
        <f>E16-C16</f>
        <v>-30317</v>
      </c>
    </row>
  </sheetData>
  <phoneticPr fontId="13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6F7EF-CD85-4B0B-AA23-35B511F17D93}">
  <sheetPr>
    <pageSetUpPr fitToPage="1"/>
  </sheetPr>
  <dimension ref="A1:N72"/>
  <sheetViews>
    <sheetView workbookViewId="0">
      <pane xSplit="1" ySplit="3" topLeftCell="B46" activePane="bottomRight" state="frozen"/>
      <selection pane="topRight" activeCell="B1" sqref="B1"/>
      <selection pane="bottomLeft" activeCell="A4" sqref="A4"/>
      <selection pane="bottomRight" activeCell="B60" sqref="B60"/>
    </sheetView>
  </sheetViews>
  <sheetFormatPr defaultColWidth="8.9140625" defaultRowHeight="15" x14ac:dyDescent="0.25"/>
  <cols>
    <col min="1" max="1" width="27" style="66" customWidth="1"/>
    <col min="2" max="2" width="8.9140625" style="66"/>
    <col min="3" max="13" width="8.9140625" style="66" customWidth="1"/>
    <col min="14" max="16384" width="8.9140625" style="66"/>
  </cols>
  <sheetData>
    <row r="1" spans="1:14" ht="15.6" x14ac:dyDescent="0.25">
      <c r="A1" s="81" t="s">
        <v>204</v>
      </c>
    </row>
    <row r="2" spans="1:14" x14ac:dyDescent="0.25">
      <c r="A2" s="67"/>
    </row>
    <row r="3" spans="1:14" x14ac:dyDescent="0.25">
      <c r="A3" s="67"/>
      <c r="B3" s="68" t="s">
        <v>29</v>
      </c>
      <c r="C3" s="69" t="s">
        <v>30</v>
      </c>
      <c r="D3" s="69" t="s">
        <v>31</v>
      </c>
      <c r="E3" s="69" t="s">
        <v>32</v>
      </c>
      <c r="F3" s="69" t="s">
        <v>33</v>
      </c>
      <c r="G3" s="69" t="s">
        <v>34</v>
      </c>
      <c r="H3" s="69" t="s">
        <v>35</v>
      </c>
      <c r="I3" s="69" t="s">
        <v>36</v>
      </c>
      <c r="J3" s="69" t="s">
        <v>37</v>
      </c>
      <c r="K3" s="69" t="s">
        <v>38</v>
      </c>
      <c r="L3" s="69" t="s">
        <v>39</v>
      </c>
      <c r="M3" s="69" t="s">
        <v>40</v>
      </c>
      <c r="N3" s="70" t="s">
        <v>41</v>
      </c>
    </row>
    <row r="4" spans="1:14" x14ac:dyDescent="0.25">
      <c r="A4" s="83" t="s">
        <v>190</v>
      </c>
      <c r="B4" s="74">
        <v>70</v>
      </c>
      <c r="C4" s="71">
        <v>80</v>
      </c>
      <c r="D4" s="71">
        <v>40</v>
      </c>
      <c r="E4" s="71">
        <v>40</v>
      </c>
      <c r="F4" s="71">
        <v>140</v>
      </c>
      <c r="G4" s="72">
        <v>90</v>
      </c>
      <c r="H4" s="71">
        <v>160</v>
      </c>
      <c r="I4" s="71">
        <v>100</v>
      </c>
      <c r="J4" s="71">
        <v>50</v>
      </c>
      <c r="K4" s="71">
        <v>100</v>
      </c>
      <c r="L4" s="71">
        <v>90</v>
      </c>
      <c r="M4" s="71">
        <v>60</v>
      </c>
      <c r="N4" s="71">
        <f>SUM(B4:M4)</f>
        <v>1020</v>
      </c>
    </row>
    <row r="5" spans="1:14" x14ac:dyDescent="0.25">
      <c r="A5" s="83" t="s">
        <v>191</v>
      </c>
      <c r="B5" s="74">
        <v>80</v>
      </c>
      <c r="C5" s="71">
        <v>80</v>
      </c>
      <c r="D5" s="71">
        <v>80</v>
      </c>
      <c r="E5" s="71">
        <v>50</v>
      </c>
      <c r="F5" s="71">
        <v>180</v>
      </c>
      <c r="G5" s="72">
        <v>110</v>
      </c>
      <c r="H5" s="71">
        <v>130</v>
      </c>
      <c r="I5" s="71">
        <v>70</v>
      </c>
      <c r="J5" s="71">
        <v>120</v>
      </c>
      <c r="K5" s="71">
        <v>40</v>
      </c>
      <c r="L5" s="71">
        <v>80</v>
      </c>
      <c r="M5" s="71">
        <v>40</v>
      </c>
      <c r="N5" s="71">
        <f t="shared" ref="N5:N6" si="0">SUM(B5:M5)</f>
        <v>1060</v>
      </c>
    </row>
    <row r="6" spans="1:14" x14ac:dyDescent="0.25">
      <c r="A6" s="83" t="s">
        <v>186</v>
      </c>
      <c r="B6" s="74">
        <v>1820</v>
      </c>
      <c r="C6" s="71">
        <v>1660</v>
      </c>
      <c r="D6" s="71">
        <v>2120</v>
      </c>
      <c r="E6" s="71">
        <v>2000</v>
      </c>
      <c r="F6" s="71">
        <v>2500</v>
      </c>
      <c r="G6" s="72">
        <v>1980</v>
      </c>
      <c r="H6" s="71">
        <v>1820</v>
      </c>
      <c r="I6" s="71">
        <v>1960</v>
      </c>
      <c r="J6" s="71">
        <v>1520</v>
      </c>
      <c r="K6" s="71">
        <v>2180</v>
      </c>
      <c r="L6" s="71">
        <v>1980</v>
      </c>
      <c r="M6" s="71">
        <v>1880</v>
      </c>
      <c r="N6" s="71">
        <f t="shared" si="0"/>
        <v>23420</v>
      </c>
    </row>
    <row r="7" spans="1:14" x14ac:dyDescent="0.25">
      <c r="A7" s="83" t="s">
        <v>59</v>
      </c>
      <c r="B7" s="74">
        <v>0</v>
      </c>
      <c r="C7" s="71">
        <v>20</v>
      </c>
      <c r="D7" s="71">
        <v>20</v>
      </c>
      <c r="E7" s="71">
        <v>20</v>
      </c>
      <c r="F7" s="71">
        <v>0</v>
      </c>
      <c r="G7" s="72">
        <v>60</v>
      </c>
      <c r="H7" s="71">
        <v>40</v>
      </c>
      <c r="I7" s="71">
        <v>80</v>
      </c>
      <c r="J7" s="71">
        <v>80</v>
      </c>
      <c r="K7" s="71">
        <v>0</v>
      </c>
      <c r="L7" s="71">
        <v>20</v>
      </c>
      <c r="M7" s="71">
        <v>20</v>
      </c>
      <c r="N7" s="71">
        <f>SUM(B7:M7)</f>
        <v>360</v>
      </c>
    </row>
    <row r="8" spans="1:14" x14ac:dyDescent="0.25">
      <c r="A8" s="83" t="s">
        <v>187</v>
      </c>
      <c r="B8" s="74">
        <v>2100</v>
      </c>
      <c r="C8" s="71">
        <v>2320</v>
      </c>
      <c r="D8" s="71">
        <v>2600</v>
      </c>
      <c r="E8" s="71">
        <v>2820</v>
      </c>
      <c r="F8" s="71">
        <v>3260</v>
      </c>
      <c r="G8" s="72">
        <v>2560</v>
      </c>
      <c r="H8" s="71">
        <v>2720</v>
      </c>
      <c r="I8" s="71">
        <v>2200</v>
      </c>
      <c r="J8" s="71">
        <v>2560</v>
      </c>
      <c r="K8" s="71">
        <v>2320</v>
      </c>
      <c r="L8" s="71">
        <v>2540</v>
      </c>
      <c r="M8" s="71">
        <v>2300</v>
      </c>
      <c r="N8" s="71">
        <f>SUM(B8:M8)</f>
        <v>30300</v>
      </c>
    </row>
    <row r="9" spans="1:14" x14ac:dyDescent="0.25">
      <c r="A9" s="83" t="s">
        <v>188</v>
      </c>
      <c r="B9" s="74">
        <v>0</v>
      </c>
      <c r="C9" s="71">
        <v>0</v>
      </c>
      <c r="D9" s="71">
        <v>0</v>
      </c>
      <c r="E9" s="71">
        <v>0</v>
      </c>
      <c r="F9" s="71">
        <v>0</v>
      </c>
      <c r="G9" s="72">
        <v>0</v>
      </c>
      <c r="H9" s="71">
        <v>20</v>
      </c>
      <c r="I9" s="71">
        <v>0</v>
      </c>
      <c r="J9" s="71">
        <v>0</v>
      </c>
      <c r="K9" s="71">
        <v>0</v>
      </c>
      <c r="L9" s="71">
        <v>0</v>
      </c>
      <c r="M9" s="71">
        <v>0</v>
      </c>
      <c r="N9" s="71">
        <f>SUM(B9:M9)</f>
        <v>20</v>
      </c>
    </row>
    <row r="10" spans="1:14" x14ac:dyDescent="0.25">
      <c r="A10" s="83" t="s">
        <v>134</v>
      </c>
      <c r="B10" s="74">
        <v>0</v>
      </c>
      <c r="C10" s="71">
        <v>0</v>
      </c>
      <c r="D10" s="71">
        <v>0</v>
      </c>
      <c r="E10" s="71">
        <v>0</v>
      </c>
      <c r="F10" s="71">
        <v>0</v>
      </c>
      <c r="G10" s="72">
        <v>0</v>
      </c>
      <c r="H10" s="71">
        <v>0</v>
      </c>
      <c r="I10" s="71">
        <v>0</v>
      </c>
      <c r="J10" s="71">
        <v>0</v>
      </c>
      <c r="K10" s="71">
        <v>0</v>
      </c>
      <c r="L10" s="71">
        <v>0</v>
      </c>
      <c r="M10" s="71">
        <v>0</v>
      </c>
      <c r="N10" s="71">
        <f>SUM(B10:M10)</f>
        <v>0</v>
      </c>
    </row>
    <row r="11" spans="1:14" x14ac:dyDescent="0.25">
      <c r="A11" s="83" t="s">
        <v>135</v>
      </c>
      <c r="B11" s="74">
        <v>0</v>
      </c>
      <c r="C11" s="71">
        <v>0</v>
      </c>
      <c r="D11" s="71">
        <v>0</v>
      </c>
      <c r="E11" s="71">
        <v>0</v>
      </c>
      <c r="F11" s="71">
        <v>0</v>
      </c>
      <c r="G11" s="72">
        <v>0</v>
      </c>
      <c r="H11" s="71">
        <v>0</v>
      </c>
      <c r="I11" s="71">
        <v>0</v>
      </c>
      <c r="J11" s="71">
        <v>0</v>
      </c>
      <c r="K11" s="71">
        <v>0</v>
      </c>
      <c r="L11" s="71">
        <v>0</v>
      </c>
      <c r="M11" s="71">
        <v>0</v>
      </c>
      <c r="N11" s="71">
        <f t="shared" ref="N11:N53" si="1">SUM(B11:M11)</f>
        <v>0</v>
      </c>
    </row>
    <row r="12" spans="1:14" x14ac:dyDescent="0.25">
      <c r="A12" s="83" t="s">
        <v>199</v>
      </c>
      <c r="B12" s="74">
        <v>1275</v>
      </c>
      <c r="C12" s="71">
        <v>1375</v>
      </c>
      <c r="D12" s="71">
        <v>1725</v>
      </c>
      <c r="E12" s="71">
        <v>1650</v>
      </c>
      <c r="F12" s="71">
        <v>2050</v>
      </c>
      <c r="G12" s="72">
        <v>2800</v>
      </c>
      <c r="H12" s="71">
        <v>2550</v>
      </c>
      <c r="I12" s="71">
        <v>2350</v>
      </c>
      <c r="J12" s="71">
        <v>2200</v>
      </c>
      <c r="K12" s="71">
        <v>2250</v>
      </c>
      <c r="L12" s="71">
        <v>1575</v>
      </c>
      <c r="M12" s="71">
        <v>1300</v>
      </c>
      <c r="N12" s="71">
        <f t="shared" si="1"/>
        <v>23100</v>
      </c>
    </row>
    <row r="13" spans="1:14" x14ac:dyDescent="0.25">
      <c r="A13" s="83" t="s">
        <v>111</v>
      </c>
      <c r="B13" s="74">
        <v>0</v>
      </c>
      <c r="C13" s="71">
        <v>0</v>
      </c>
      <c r="D13" s="71">
        <v>0</v>
      </c>
      <c r="E13" s="71">
        <v>0</v>
      </c>
      <c r="F13" s="71">
        <v>1287</v>
      </c>
      <c r="G13" s="72">
        <v>2873</v>
      </c>
      <c r="H13" s="71">
        <v>4891</v>
      </c>
      <c r="I13" s="71">
        <v>4162</v>
      </c>
      <c r="J13" s="71">
        <v>2975</v>
      </c>
      <c r="K13" s="71">
        <v>0</v>
      </c>
      <c r="L13" s="71">
        <v>0</v>
      </c>
      <c r="M13" s="71">
        <v>0</v>
      </c>
      <c r="N13" s="71">
        <f t="shared" si="1"/>
        <v>16188</v>
      </c>
    </row>
    <row r="14" spans="1:14" x14ac:dyDescent="0.25">
      <c r="A14" s="83" t="s">
        <v>136</v>
      </c>
      <c r="B14" s="74">
        <v>1280</v>
      </c>
      <c r="C14" s="71">
        <v>1429</v>
      </c>
      <c r="D14" s="71">
        <v>1704</v>
      </c>
      <c r="E14" s="71">
        <v>2007</v>
      </c>
      <c r="F14" s="71">
        <v>1224</v>
      </c>
      <c r="G14" s="72">
        <v>0</v>
      </c>
      <c r="H14" s="71">
        <v>0</v>
      </c>
      <c r="I14" s="71">
        <v>0</v>
      </c>
      <c r="J14" s="71">
        <v>0</v>
      </c>
      <c r="K14" s="71">
        <v>1723</v>
      </c>
      <c r="L14" s="71">
        <v>1437</v>
      </c>
      <c r="M14" s="71">
        <v>1425</v>
      </c>
      <c r="N14" s="71">
        <f t="shared" si="1"/>
        <v>12229</v>
      </c>
    </row>
    <row r="15" spans="1:14" x14ac:dyDescent="0.25">
      <c r="A15" s="83" t="s">
        <v>127</v>
      </c>
      <c r="B15" s="74">
        <v>0</v>
      </c>
      <c r="C15" s="71">
        <v>0</v>
      </c>
      <c r="D15" s="71">
        <v>0</v>
      </c>
      <c r="E15" s="71">
        <v>0</v>
      </c>
      <c r="F15" s="71">
        <v>1172</v>
      </c>
      <c r="G15" s="72">
        <v>2652</v>
      </c>
      <c r="H15" s="71">
        <v>3557</v>
      </c>
      <c r="I15" s="71">
        <v>3286</v>
      </c>
      <c r="J15" s="71">
        <v>2471</v>
      </c>
      <c r="K15" s="71">
        <v>0</v>
      </c>
      <c r="L15" s="71">
        <v>0</v>
      </c>
      <c r="M15" s="71">
        <v>0</v>
      </c>
      <c r="N15" s="71">
        <f t="shared" si="1"/>
        <v>13138</v>
      </c>
    </row>
    <row r="16" spans="1:14" x14ac:dyDescent="0.25">
      <c r="A16" s="83" t="s">
        <v>137</v>
      </c>
      <c r="B16" s="74">
        <v>1808</v>
      </c>
      <c r="C16" s="71">
        <v>2036</v>
      </c>
      <c r="D16" s="71">
        <v>2303</v>
      </c>
      <c r="E16" s="71">
        <v>2425</v>
      </c>
      <c r="F16" s="71">
        <v>1475</v>
      </c>
      <c r="G16" s="72">
        <v>0</v>
      </c>
      <c r="H16" s="71">
        <v>0</v>
      </c>
      <c r="I16" s="71">
        <v>0</v>
      </c>
      <c r="J16" s="71">
        <v>0</v>
      </c>
      <c r="K16" s="71">
        <v>1974</v>
      </c>
      <c r="L16" s="71">
        <v>1877</v>
      </c>
      <c r="M16" s="71">
        <v>2113</v>
      </c>
      <c r="N16" s="71">
        <f t="shared" si="1"/>
        <v>16011</v>
      </c>
    </row>
    <row r="17" spans="1:14" x14ac:dyDescent="0.25">
      <c r="A17" s="83" t="s">
        <v>8</v>
      </c>
      <c r="B17" s="74">
        <v>0</v>
      </c>
      <c r="C17" s="71">
        <v>0</v>
      </c>
      <c r="D17" s="71">
        <v>0</v>
      </c>
      <c r="E17" s="71">
        <v>0</v>
      </c>
      <c r="F17" s="71">
        <v>0</v>
      </c>
      <c r="G17" s="72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1">
        <v>0</v>
      </c>
      <c r="N17" s="71">
        <f t="shared" si="1"/>
        <v>0</v>
      </c>
    </row>
    <row r="18" spans="1:14" x14ac:dyDescent="0.25">
      <c r="A18" s="83" t="s">
        <v>205</v>
      </c>
      <c r="B18" s="74">
        <v>0</v>
      </c>
      <c r="C18" s="71">
        <v>0</v>
      </c>
      <c r="D18" s="71">
        <v>0</v>
      </c>
      <c r="E18" s="71">
        <v>0</v>
      </c>
      <c r="F18" s="71">
        <v>1</v>
      </c>
      <c r="G18" s="72">
        <v>2</v>
      </c>
      <c r="H18" s="71">
        <v>2</v>
      </c>
      <c r="I18" s="71">
        <v>0</v>
      </c>
      <c r="J18" s="71">
        <v>1</v>
      </c>
      <c r="K18" s="71">
        <v>0</v>
      </c>
      <c r="L18" s="71">
        <v>4</v>
      </c>
      <c r="M18" s="71">
        <v>0</v>
      </c>
      <c r="N18" s="71">
        <f t="shared" si="1"/>
        <v>10</v>
      </c>
    </row>
    <row r="19" spans="1:14" x14ac:dyDescent="0.25">
      <c r="A19" s="83" t="s">
        <v>62</v>
      </c>
      <c r="B19" s="74">
        <v>1</v>
      </c>
      <c r="C19" s="71">
        <v>2</v>
      </c>
      <c r="D19" s="71">
        <v>2</v>
      </c>
      <c r="E19" s="71">
        <v>4</v>
      </c>
      <c r="F19" s="71">
        <v>1</v>
      </c>
      <c r="G19" s="72">
        <v>0</v>
      </c>
      <c r="H19" s="71">
        <v>2</v>
      </c>
      <c r="I19" s="71">
        <v>4</v>
      </c>
      <c r="J19" s="71">
        <v>2</v>
      </c>
      <c r="K19" s="71">
        <v>3</v>
      </c>
      <c r="L19" s="71">
        <v>0</v>
      </c>
      <c r="M19" s="71">
        <v>0</v>
      </c>
      <c r="N19" s="71">
        <f t="shared" si="1"/>
        <v>21</v>
      </c>
    </row>
    <row r="20" spans="1:14" x14ac:dyDescent="0.25">
      <c r="A20" s="83" t="s">
        <v>138</v>
      </c>
      <c r="B20" s="74">
        <v>0</v>
      </c>
      <c r="C20" s="71">
        <v>0</v>
      </c>
      <c r="D20" s="71">
        <v>0</v>
      </c>
      <c r="E20" s="71">
        <v>0</v>
      </c>
      <c r="F20" s="71">
        <v>7</v>
      </c>
      <c r="G20" s="72">
        <v>17</v>
      </c>
      <c r="H20" s="71">
        <v>37</v>
      </c>
      <c r="I20" s="71">
        <v>46</v>
      </c>
      <c r="J20" s="71">
        <v>31</v>
      </c>
      <c r="K20" s="71">
        <v>0</v>
      </c>
      <c r="L20" s="71">
        <v>0</v>
      </c>
      <c r="M20" s="71">
        <v>0</v>
      </c>
      <c r="N20" s="71">
        <f t="shared" si="1"/>
        <v>138</v>
      </c>
    </row>
    <row r="21" spans="1:14" x14ac:dyDescent="0.25">
      <c r="A21" s="83" t="s">
        <v>139</v>
      </c>
      <c r="B21" s="74">
        <v>2</v>
      </c>
      <c r="C21" s="71">
        <v>8</v>
      </c>
      <c r="D21" s="71">
        <v>4</v>
      </c>
      <c r="E21" s="71">
        <v>4</v>
      </c>
      <c r="F21" s="71">
        <v>3</v>
      </c>
      <c r="G21" s="72">
        <v>0</v>
      </c>
      <c r="H21" s="71">
        <v>0</v>
      </c>
      <c r="I21" s="71">
        <v>0</v>
      </c>
      <c r="J21" s="71">
        <v>0</v>
      </c>
      <c r="K21" s="71">
        <v>13</v>
      </c>
      <c r="L21" s="71">
        <v>4</v>
      </c>
      <c r="M21" s="71">
        <v>3</v>
      </c>
      <c r="N21" s="71">
        <f t="shared" si="1"/>
        <v>41</v>
      </c>
    </row>
    <row r="22" spans="1:14" x14ac:dyDescent="0.25">
      <c r="A22" s="83" t="s">
        <v>11</v>
      </c>
      <c r="B22" s="74">
        <v>19</v>
      </c>
      <c r="C22" s="71">
        <v>19</v>
      </c>
      <c r="D22" s="71">
        <v>22</v>
      </c>
      <c r="E22" s="71">
        <v>15</v>
      </c>
      <c r="F22" s="71">
        <v>20</v>
      </c>
      <c r="G22" s="72">
        <v>15</v>
      </c>
      <c r="H22" s="71">
        <v>0</v>
      </c>
      <c r="I22" s="71">
        <v>0</v>
      </c>
      <c r="J22" s="71">
        <v>19</v>
      </c>
      <c r="K22" s="71">
        <v>21</v>
      </c>
      <c r="L22" s="71">
        <v>18</v>
      </c>
      <c r="M22" s="71">
        <v>12</v>
      </c>
      <c r="N22" s="71">
        <f>SUM(B22:M22)</f>
        <v>180</v>
      </c>
    </row>
    <row r="23" spans="1:14" x14ac:dyDescent="0.25">
      <c r="A23" s="83" t="s">
        <v>12</v>
      </c>
      <c r="B23" s="74">
        <v>2</v>
      </c>
      <c r="C23" s="71">
        <v>0</v>
      </c>
      <c r="D23" s="71">
        <v>3</v>
      </c>
      <c r="E23" s="71">
        <v>3</v>
      </c>
      <c r="F23" s="71">
        <v>4</v>
      </c>
      <c r="G23" s="72">
        <v>11</v>
      </c>
      <c r="H23" s="73">
        <v>5</v>
      </c>
      <c r="I23" s="71">
        <v>4</v>
      </c>
      <c r="J23" s="71">
        <v>1</v>
      </c>
      <c r="K23" s="71">
        <v>7</v>
      </c>
      <c r="L23" s="71">
        <v>2</v>
      </c>
      <c r="M23" s="71">
        <v>0</v>
      </c>
      <c r="N23" s="71">
        <f t="shared" si="1"/>
        <v>42</v>
      </c>
    </row>
    <row r="24" spans="1:14" x14ac:dyDescent="0.25">
      <c r="A24" s="83" t="s">
        <v>145</v>
      </c>
      <c r="B24" s="74">
        <v>0</v>
      </c>
      <c r="C24" s="71">
        <v>0</v>
      </c>
      <c r="D24" s="71">
        <v>0</v>
      </c>
      <c r="E24" s="71">
        <v>0</v>
      </c>
      <c r="F24" s="71">
        <v>303</v>
      </c>
      <c r="G24" s="72">
        <v>637</v>
      </c>
      <c r="H24" s="71">
        <v>902</v>
      </c>
      <c r="I24" s="71">
        <v>955</v>
      </c>
      <c r="J24" s="71">
        <v>727</v>
      </c>
      <c r="K24" s="71">
        <v>0</v>
      </c>
      <c r="L24" s="71">
        <v>0</v>
      </c>
      <c r="M24" s="71">
        <v>0</v>
      </c>
      <c r="N24" s="71">
        <f>SUM(B24:M24)</f>
        <v>3524</v>
      </c>
    </row>
    <row r="25" spans="1:14" x14ac:dyDescent="0.25">
      <c r="A25" s="83" t="s">
        <v>146</v>
      </c>
      <c r="B25" s="74">
        <v>481</v>
      </c>
      <c r="C25" s="71">
        <v>462</v>
      </c>
      <c r="D25" s="71">
        <v>571</v>
      </c>
      <c r="E25" s="71">
        <v>645</v>
      </c>
      <c r="F25" s="71">
        <v>385</v>
      </c>
      <c r="G25" s="72">
        <v>0</v>
      </c>
      <c r="H25" s="71">
        <v>0</v>
      </c>
      <c r="I25" s="71">
        <v>0</v>
      </c>
      <c r="J25" s="71">
        <v>0</v>
      </c>
      <c r="K25" s="71">
        <v>657</v>
      </c>
      <c r="L25" s="71">
        <v>569</v>
      </c>
      <c r="M25" s="71">
        <v>587</v>
      </c>
      <c r="N25" s="71">
        <f>SUM(B25:M25)</f>
        <v>4357</v>
      </c>
    </row>
    <row r="26" spans="1:14" x14ac:dyDescent="0.25">
      <c r="A26" s="83" t="s">
        <v>184</v>
      </c>
      <c r="B26" s="74">
        <v>0</v>
      </c>
      <c r="C26" s="71">
        <v>0</v>
      </c>
      <c r="D26" s="71">
        <v>0</v>
      </c>
      <c r="E26" s="71">
        <v>0</v>
      </c>
      <c r="F26" s="71">
        <v>677</v>
      </c>
      <c r="G26" s="72">
        <v>1433</v>
      </c>
      <c r="H26" s="71">
        <v>3030</v>
      </c>
      <c r="I26" s="71">
        <v>2601</v>
      </c>
      <c r="J26" s="71">
        <v>1459</v>
      </c>
      <c r="K26" s="71">
        <v>0</v>
      </c>
      <c r="L26" s="71">
        <v>0</v>
      </c>
      <c r="M26" s="71">
        <v>0</v>
      </c>
      <c r="N26" s="71">
        <f>SUM(B26:M26)</f>
        <v>9200</v>
      </c>
    </row>
    <row r="27" spans="1:14" x14ac:dyDescent="0.25">
      <c r="A27" s="83" t="s">
        <v>183</v>
      </c>
      <c r="B27" s="74">
        <v>488</v>
      </c>
      <c r="C27" s="71">
        <v>478</v>
      </c>
      <c r="D27" s="71">
        <v>546</v>
      </c>
      <c r="E27" s="71">
        <v>1047</v>
      </c>
      <c r="F27" s="71">
        <v>473</v>
      </c>
      <c r="G27" s="72">
        <v>0</v>
      </c>
      <c r="H27" s="71">
        <v>0</v>
      </c>
      <c r="I27" s="71">
        <v>0</v>
      </c>
      <c r="J27" s="71">
        <v>0</v>
      </c>
      <c r="K27" s="71">
        <v>842</v>
      </c>
      <c r="L27" s="71">
        <v>594</v>
      </c>
      <c r="M27" s="71">
        <v>708</v>
      </c>
      <c r="N27" s="71">
        <f>SUM(B27:M27)</f>
        <v>5176</v>
      </c>
    </row>
    <row r="28" spans="1:14" x14ac:dyDescent="0.25">
      <c r="A28" s="83" t="s">
        <v>140</v>
      </c>
      <c r="B28" s="74">
        <v>0</v>
      </c>
      <c r="C28" s="71">
        <v>0</v>
      </c>
      <c r="D28" s="71">
        <v>0</v>
      </c>
      <c r="E28" s="71">
        <v>0</v>
      </c>
      <c r="F28" s="71">
        <v>0</v>
      </c>
      <c r="G28" s="72">
        <v>5</v>
      </c>
      <c r="H28" s="71">
        <v>7</v>
      </c>
      <c r="I28" s="71">
        <v>7</v>
      </c>
      <c r="J28" s="71">
        <v>5</v>
      </c>
      <c r="K28" s="71">
        <v>0</v>
      </c>
      <c r="L28" s="71">
        <v>0</v>
      </c>
      <c r="M28" s="71">
        <v>0</v>
      </c>
      <c r="N28" s="71">
        <f t="shared" si="1"/>
        <v>24</v>
      </c>
    </row>
    <row r="29" spans="1:14" x14ac:dyDescent="0.25">
      <c r="A29" s="83" t="s">
        <v>141</v>
      </c>
      <c r="B29" s="74">
        <v>0</v>
      </c>
      <c r="C29" s="71">
        <v>2</v>
      </c>
      <c r="D29" s="71">
        <v>0</v>
      </c>
      <c r="E29" s="71">
        <v>2</v>
      </c>
      <c r="F29" s="71">
        <v>0</v>
      </c>
      <c r="G29" s="72">
        <v>0</v>
      </c>
      <c r="H29" s="71">
        <v>0</v>
      </c>
      <c r="I29" s="71">
        <v>0</v>
      </c>
      <c r="J29" s="71">
        <v>0</v>
      </c>
      <c r="K29" s="71">
        <v>0</v>
      </c>
      <c r="L29" s="71">
        <v>0</v>
      </c>
      <c r="M29" s="71">
        <v>0</v>
      </c>
      <c r="N29" s="71">
        <f t="shared" si="1"/>
        <v>4</v>
      </c>
    </row>
    <row r="30" spans="1:14" x14ac:dyDescent="0.25">
      <c r="A30" s="83" t="s">
        <v>91</v>
      </c>
      <c r="B30" s="74">
        <v>0</v>
      </c>
      <c r="C30" s="71">
        <v>0</v>
      </c>
      <c r="D30" s="71">
        <v>0</v>
      </c>
      <c r="E30" s="71">
        <v>0</v>
      </c>
      <c r="F30" s="71">
        <v>0</v>
      </c>
      <c r="G30" s="72">
        <v>0</v>
      </c>
      <c r="H30" s="71">
        <v>0</v>
      </c>
      <c r="I30" s="71">
        <v>0</v>
      </c>
      <c r="J30" s="71">
        <v>0</v>
      </c>
      <c r="K30" s="71">
        <v>3</v>
      </c>
      <c r="L30" s="71">
        <v>0</v>
      </c>
      <c r="M30" s="71">
        <v>0</v>
      </c>
      <c r="N30" s="71">
        <f>SUM(B30:M30)</f>
        <v>3</v>
      </c>
    </row>
    <row r="31" spans="1:14" x14ac:dyDescent="0.25">
      <c r="A31" s="83" t="s">
        <v>202</v>
      </c>
      <c r="B31" s="74">
        <v>1600</v>
      </c>
      <c r="C31" s="71">
        <v>1225</v>
      </c>
      <c r="D31" s="71">
        <v>1875</v>
      </c>
      <c r="E31" s="71">
        <v>1675</v>
      </c>
      <c r="F31" s="71">
        <v>2525</v>
      </c>
      <c r="G31" s="72">
        <v>2450</v>
      </c>
      <c r="H31" s="71">
        <v>3150</v>
      </c>
      <c r="I31" s="71">
        <v>2425</v>
      </c>
      <c r="J31" s="71">
        <v>2350</v>
      </c>
      <c r="K31" s="71">
        <v>2200</v>
      </c>
      <c r="L31" s="71">
        <v>1550</v>
      </c>
      <c r="M31" s="71">
        <v>1475</v>
      </c>
      <c r="N31" s="71">
        <f>SUM(B31:M31)</f>
        <v>24500</v>
      </c>
    </row>
    <row r="32" spans="1:14" x14ac:dyDescent="0.25">
      <c r="A32" s="83" t="s">
        <v>116</v>
      </c>
      <c r="B32" s="74">
        <v>0</v>
      </c>
      <c r="C32" s="71">
        <v>0</v>
      </c>
      <c r="D32" s="71">
        <v>0</v>
      </c>
      <c r="E32" s="71">
        <v>0</v>
      </c>
      <c r="F32" s="71">
        <v>0</v>
      </c>
      <c r="G32" s="72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f>SUM(B32:M32)</f>
        <v>0</v>
      </c>
    </row>
    <row r="33" spans="1:14" x14ac:dyDescent="0.25">
      <c r="A33" s="83" t="s">
        <v>142</v>
      </c>
      <c r="B33" s="74">
        <v>0</v>
      </c>
      <c r="C33" s="71">
        <v>0</v>
      </c>
      <c r="D33" s="71">
        <v>0</v>
      </c>
      <c r="E33" s="71">
        <v>0</v>
      </c>
      <c r="F33" s="71">
        <v>0</v>
      </c>
      <c r="G33" s="72">
        <v>0</v>
      </c>
      <c r="H33" s="71">
        <v>0</v>
      </c>
      <c r="I33" s="71">
        <v>0</v>
      </c>
      <c r="J33" s="71">
        <v>0</v>
      </c>
      <c r="K33" s="71">
        <v>0</v>
      </c>
      <c r="L33" s="71">
        <v>0</v>
      </c>
      <c r="M33" s="71">
        <v>0</v>
      </c>
      <c r="N33" s="71">
        <f>SUM(B33:M33)</f>
        <v>0</v>
      </c>
    </row>
    <row r="34" spans="1:14" x14ac:dyDescent="0.25">
      <c r="A34" s="83" t="s">
        <v>118</v>
      </c>
      <c r="B34" s="74">
        <v>0</v>
      </c>
      <c r="C34" s="71">
        <v>0</v>
      </c>
      <c r="D34" s="71">
        <v>0</v>
      </c>
      <c r="E34" s="71">
        <v>0</v>
      </c>
      <c r="F34" s="71">
        <v>103</v>
      </c>
      <c r="G34" s="72">
        <v>277</v>
      </c>
      <c r="H34" s="71">
        <v>212</v>
      </c>
      <c r="I34" s="71">
        <v>280</v>
      </c>
      <c r="J34" s="71">
        <v>210</v>
      </c>
      <c r="K34" s="71">
        <v>0</v>
      </c>
      <c r="L34" s="71">
        <v>0</v>
      </c>
      <c r="M34" s="71">
        <v>0</v>
      </c>
      <c r="N34" s="71">
        <f t="shared" si="1"/>
        <v>1082</v>
      </c>
    </row>
    <row r="35" spans="1:14" x14ac:dyDescent="0.25">
      <c r="A35" s="83" t="s">
        <v>147</v>
      </c>
      <c r="B35" s="74">
        <v>193</v>
      </c>
      <c r="C35" s="71">
        <v>193</v>
      </c>
      <c r="D35" s="71">
        <v>215</v>
      </c>
      <c r="E35" s="71">
        <v>194</v>
      </c>
      <c r="F35" s="71">
        <v>142</v>
      </c>
      <c r="G35" s="72">
        <v>0</v>
      </c>
      <c r="H35" s="71">
        <v>0</v>
      </c>
      <c r="I35" s="71">
        <v>0</v>
      </c>
      <c r="J35" s="71">
        <v>0</v>
      </c>
      <c r="K35" s="71">
        <v>201</v>
      </c>
      <c r="L35" s="71">
        <v>202</v>
      </c>
      <c r="M35" s="71">
        <v>162</v>
      </c>
      <c r="N35" s="71">
        <f t="shared" si="1"/>
        <v>1502</v>
      </c>
    </row>
    <row r="36" spans="1:14" x14ac:dyDescent="0.25">
      <c r="A36" s="83" t="s">
        <v>119</v>
      </c>
      <c r="B36" s="74">
        <v>0</v>
      </c>
      <c r="C36" s="71">
        <v>0</v>
      </c>
      <c r="D36" s="71">
        <v>0</v>
      </c>
      <c r="E36" s="71">
        <v>0</v>
      </c>
      <c r="F36" s="71">
        <v>33</v>
      </c>
      <c r="G36" s="72">
        <v>129</v>
      </c>
      <c r="H36" s="71">
        <v>99</v>
      </c>
      <c r="I36" s="71">
        <v>103</v>
      </c>
      <c r="J36" s="71">
        <v>72</v>
      </c>
      <c r="K36" s="71">
        <v>0</v>
      </c>
      <c r="L36" s="71">
        <v>0</v>
      </c>
      <c r="M36" s="71">
        <v>0</v>
      </c>
      <c r="N36" s="71">
        <f t="shared" si="1"/>
        <v>436</v>
      </c>
    </row>
    <row r="37" spans="1:14" x14ac:dyDescent="0.25">
      <c r="A37" s="83" t="s">
        <v>148</v>
      </c>
      <c r="B37" s="74">
        <v>61</v>
      </c>
      <c r="C37" s="71">
        <v>84</v>
      </c>
      <c r="D37" s="71">
        <v>80</v>
      </c>
      <c r="E37" s="71">
        <v>73</v>
      </c>
      <c r="F37" s="71">
        <v>57</v>
      </c>
      <c r="G37" s="72">
        <v>0</v>
      </c>
      <c r="H37" s="71">
        <v>0</v>
      </c>
      <c r="I37" s="71">
        <v>0</v>
      </c>
      <c r="J37" s="71">
        <v>0</v>
      </c>
      <c r="K37" s="71">
        <v>51</v>
      </c>
      <c r="L37" s="71">
        <v>113</v>
      </c>
      <c r="M37" s="71">
        <v>59</v>
      </c>
      <c r="N37" s="71">
        <f t="shared" si="1"/>
        <v>578</v>
      </c>
    </row>
    <row r="38" spans="1:14" x14ac:dyDescent="0.25">
      <c r="A38" s="83" t="s">
        <v>120</v>
      </c>
      <c r="B38" s="74">
        <v>0</v>
      </c>
      <c r="C38" s="71">
        <v>0</v>
      </c>
      <c r="D38" s="71">
        <v>0</v>
      </c>
      <c r="E38" s="71">
        <v>0</v>
      </c>
      <c r="F38" s="71">
        <v>47</v>
      </c>
      <c r="G38" s="72">
        <v>122</v>
      </c>
      <c r="H38" s="71">
        <v>113</v>
      </c>
      <c r="I38" s="71">
        <v>106</v>
      </c>
      <c r="J38" s="71">
        <v>102</v>
      </c>
      <c r="K38" s="71">
        <v>0</v>
      </c>
      <c r="L38" s="71">
        <v>0</v>
      </c>
      <c r="M38" s="71">
        <v>0</v>
      </c>
      <c r="N38" s="71">
        <f t="shared" si="1"/>
        <v>490</v>
      </c>
    </row>
    <row r="39" spans="1:14" x14ac:dyDescent="0.25">
      <c r="A39" s="83" t="s">
        <v>149</v>
      </c>
      <c r="B39" s="74">
        <v>35</v>
      </c>
      <c r="C39" s="71">
        <v>68</v>
      </c>
      <c r="D39" s="71">
        <v>82</v>
      </c>
      <c r="E39" s="71">
        <v>98</v>
      </c>
      <c r="F39" s="71">
        <v>66</v>
      </c>
      <c r="G39" s="72">
        <v>0</v>
      </c>
      <c r="H39" s="71">
        <v>0</v>
      </c>
      <c r="I39" s="71">
        <v>0</v>
      </c>
      <c r="J39" s="71">
        <v>0</v>
      </c>
      <c r="K39" s="71">
        <v>98</v>
      </c>
      <c r="L39" s="71">
        <v>83</v>
      </c>
      <c r="M39" s="71">
        <v>52</v>
      </c>
      <c r="N39" s="71">
        <f t="shared" si="1"/>
        <v>582</v>
      </c>
    </row>
    <row r="40" spans="1:14" x14ac:dyDescent="0.25">
      <c r="A40" s="83" t="s">
        <v>121</v>
      </c>
      <c r="B40" s="74">
        <v>0</v>
      </c>
      <c r="C40" s="71">
        <v>0</v>
      </c>
      <c r="D40" s="71">
        <v>0</v>
      </c>
      <c r="E40" s="71">
        <v>0</v>
      </c>
      <c r="F40" s="71">
        <v>31</v>
      </c>
      <c r="G40" s="72">
        <v>91</v>
      </c>
      <c r="H40" s="71">
        <v>85</v>
      </c>
      <c r="I40" s="71">
        <v>94</v>
      </c>
      <c r="J40" s="71">
        <v>72</v>
      </c>
      <c r="K40" s="71">
        <v>0</v>
      </c>
      <c r="L40" s="71">
        <v>0</v>
      </c>
      <c r="M40" s="71">
        <v>0</v>
      </c>
      <c r="N40" s="71">
        <f t="shared" si="1"/>
        <v>373</v>
      </c>
    </row>
    <row r="41" spans="1:14" x14ac:dyDescent="0.25">
      <c r="A41" s="83" t="s">
        <v>150</v>
      </c>
      <c r="B41" s="74">
        <v>37</v>
      </c>
      <c r="C41" s="71">
        <v>47</v>
      </c>
      <c r="D41" s="71">
        <v>59</v>
      </c>
      <c r="E41" s="71">
        <v>53</v>
      </c>
      <c r="F41" s="71">
        <v>44</v>
      </c>
      <c r="G41" s="72">
        <v>0</v>
      </c>
      <c r="H41" s="71">
        <v>0</v>
      </c>
      <c r="I41" s="71">
        <v>0</v>
      </c>
      <c r="J41" s="71">
        <v>0</v>
      </c>
      <c r="K41" s="71">
        <v>83</v>
      </c>
      <c r="L41" s="71">
        <v>57</v>
      </c>
      <c r="M41" s="71">
        <v>43</v>
      </c>
      <c r="N41" s="71">
        <f t="shared" si="1"/>
        <v>423</v>
      </c>
    </row>
    <row r="42" spans="1:14" x14ac:dyDescent="0.25">
      <c r="A42" s="83" t="s">
        <v>122</v>
      </c>
      <c r="B42" s="74">
        <v>0</v>
      </c>
      <c r="C42" s="71">
        <v>0</v>
      </c>
      <c r="D42" s="71">
        <v>0</v>
      </c>
      <c r="E42" s="71">
        <v>0</v>
      </c>
      <c r="F42" s="71">
        <v>13</v>
      </c>
      <c r="G42" s="72">
        <v>35</v>
      </c>
      <c r="H42" s="71">
        <v>35</v>
      </c>
      <c r="I42" s="71">
        <v>45</v>
      </c>
      <c r="J42" s="71">
        <v>26</v>
      </c>
      <c r="K42" s="71">
        <v>0</v>
      </c>
      <c r="L42" s="71">
        <v>0</v>
      </c>
      <c r="M42" s="71">
        <v>0</v>
      </c>
      <c r="N42" s="71">
        <f t="shared" si="1"/>
        <v>154</v>
      </c>
    </row>
    <row r="43" spans="1:14" x14ac:dyDescent="0.25">
      <c r="A43" s="83" t="s">
        <v>151</v>
      </c>
      <c r="B43" s="74">
        <v>23</v>
      </c>
      <c r="C43" s="71">
        <v>20</v>
      </c>
      <c r="D43" s="71">
        <v>33</v>
      </c>
      <c r="E43" s="71">
        <v>18</v>
      </c>
      <c r="F43" s="71">
        <v>20</v>
      </c>
      <c r="G43" s="72">
        <v>0</v>
      </c>
      <c r="H43" s="71">
        <v>0</v>
      </c>
      <c r="I43" s="71">
        <v>0</v>
      </c>
      <c r="J43" s="71">
        <v>0</v>
      </c>
      <c r="K43" s="71">
        <v>25</v>
      </c>
      <c r="L43" s="71">
        <v>15</v>
      </c>
      <c r="M43" s="71">
        <v>11</v>
      </c>
      <c r="N43" s="71">
        <f t="shared" si="1"/>
        <v>165</v>
      </c>
    </row>
    <row r="44" spans="1:14" x14ac:dyDescent="0.25">
      <c r="A44" s="83" t="s">
        <v>123</v>
      </c>
      <c r="B44" s="74">
        <v>0</v>
      </c>
      <c r="C44" s="71">
        <v>0</v>
      </c>
      <c r="D44" s="71">
        <v>0</v>
      </c>
      <c r="E44" s="71">
        <v>0</v>
      </c>
      <c r="F44" s="71">
        <v>6</v>
      </c>
      <c r="G44" s="72">
        <v>17</v>
      </c>
      <c r="H44" s="71">
        <v>22</v>
      </c>
      <c r="I44" s="71">
        <v>30</v>
      </c>
      <c r="J44" s="71">
        <v>16</v>
      </c>
      <c r="K44" s="71">
        <v>0</v>
      </c>
      <c r="L44" s="71">
        <v>0</v>
      </c>
      <c r="M44" s="71">
        <v>0</v>
      </c>
      <c r="N44" s="71">
        <f t="shared" si="1"/>
        <v>91</v>
      </c>
    </row>
    <row r="45" spans="1:14" x14ac:dyDescent="0.25">
      <c r="A45" s="83" t="s">
        <v>152</v>
      </c>
      <c r="B45" s="74">
        <v>7</v>
      </c>
      <c r="C45" s="71">
        <v>9</v>
      </c>
      <c r="D45" s="71">
        <v>11</v>
      </c>
      <c r="E45" s="71">
        <v>9</v>
      </c>
      <c r="F45" s="71">
        <v>9</v>
      </c>
      <c r="G45" s="72">
        <v>0</v>
      </c>
      <c r="H45" s="71">
        <v>0</v>
      </c>
      <c r="I45" s="71">
        <v>0</v>
      </c>
      <c r="J45" s="71">
        <v>0</v>
      </c>
      <c r="K45" s="71">
        <v>17</v>
      </c>
      <c r="L45" s="71">
        <v>9</v>
      </c>
      <c r="M45" s="71">
        <v>7</v>
      </c>
      <c r="N45" s="71">
        <f t="shared" si="1"/>
        <v>78</v>
      </c>
    </row>
    <row r="46" spans="1:14" x14ac:dyDescent="0.25">
      <c r="A46" s="83" t="s">
        <v>124</v>
      </c>
      <c r="B46" s="74">
        <v>0</v>
      </c>
      <c r="C46" s="71">
        <v>0</v>
      </c>
      <c r="D46" s="71">
        <v>0</v>
      </c>
      <c r="E46" s="71">
        <v>0</v>
      </c>
      <c r="F46" s="71">
        <v>3</v>
      </c>
      <c r="G46" s="72">
        <v>3</v>
      </c>
      <c r="H46" s="71">
        <v>8</v>
      </c>
      <c r="I46" s="71">
        <v>7</v>
      </c>
      <c r="J46" s="71">
        <v>4</v>
      </c>
      <c r="K46" s="71">
        <v>0</v>
      </c>
      <c r="L46" s="71">
        <v>0</v>
      </c>
      <c r="M46" s="71">
        <v>0</v>
      </c>
      <c r="N46" s="71">
        <f t="shared" si="1"/>
        <v>25</v>
      </c>
    </row>
    <row r="47" spans="1:14" x14ac:dyDescent="0.25">
      <c r="A47" s="83" t="s">
        <v>153</v>
      </c>
      <c r="B47" s="74">
        <v>1</v>
      </c>
      <c r="C47" s="71">
        <v>0</v>
      </c>
      <c r="D47" s="71">
        <v>4</v>
      </c>
      <c r="E47" s="71">
        <v>4</v>
      </c>
      <c r="F47" s="71">
        <v>2</v>
      </c>
      <c r="G47" s="72">
        <v>0</v>
      </c>
      <c r="H47" s="71">
        <v>0</v>
      </c>
      <c r="I47" s="71">
        <v>0</v>
      </c>
      <c r="J47" s="71">
        <v>0</v>
      </c>
      <c r="K47" s="71">
        <v>6</v>
      </c>
      <c r="L47" s="71">
        <v>3</v>
      </c>
      <c r="M47" s="71">
        <v>1</v>
      </c>
      <c r="N47" s="71">
        <f t="shared" si="1"/>
        <v>21</v>
      </c>
    </row>
    <row r="48" spans="1:14" x14ac:dyDescent="0.25">
      <c r="A48" s="83" t="s">
        <v>125</v>
      </c>
      <c r="B48" s="74">
        <v>0</v>
      </c>
      <c r="C48" s="71">
        <v>0</v>
      </c>
      <c r="D48" s="71">
        <v>0</v>
      </c>
      <c r="E48" s="71">
        <v>0</v>
      </c>
      <c r="F48" s="71">
        <v>2</v>
      </c>
      <c r="G48" s="72">
        <v>3</v>
      </c>
      <c r="H48" s="71">
        <v>6</v>
      </c>
      <c r="I48" s="71">
        <v>3</v>
      </c>
      <c r="J48" s="71">
        <v>1</v>
      </c>
      <c r="K48" s="71">
        <v>0</v>
      </c>
      <c r="L48" s="71">
        <v>0</v>
      </c>
      <c r="M48" s="71">
        <v>0</v>
      </c>
      <c r="N48" s="71">
        <f t="shared" si="1"/>
        <v>15</v>
      </c>
    </row>
    <row r="49" spans="1:14" x14ac:dyDescent="0.25">
      <c r="A49" s="83" t="s">
        <v>154</v>
      </c>
      <c r="B49" s="74">
        <v>1</v>
      </c>
      <c r="C49" s="71">
        <v>1</v>
      </c>
      <c r="D49" s="71">
        <v>3</v>
      </c>
      <c r="E49" s="71">
        <v>0</v>
      </c>
      <c r="F49" s="71">
        <v>3</v>
      </c>
      <c r="G49" s="72">
        <v>0</v>
      </c>
      <c r="H49" s="71">
        <v>0</v>
      </c>
      <c r="I49" s="71">
        <v>0</v>
      </c>
      <c r="J49" s="71">
        <v>0</v>
      </c>
      <c r="K49" s="71">
        <v>6</v>
      </c>
      <c r="L49" s="71">
        <v>3</v>
      </c>
      <c r="M49" s="71">
        <v>0</v>
      </c>
      <c r="N49" s="71">
        <f t="shared" si="1"/>
        <v>17</v>
      </c>
    </row>
    <row r="50" spans="1:14" x14ac:dyDescent="0.25">
      <c r="A50" s="83" t="s">
        <v>126</v>
      </c>
      <c r="B50" s="74">
        <v>0</v>
      </c>
      <c r="C50" s="71">
        <v>0</v>
      </c>
      <c r="D50" s="71">
        <v>0</v>
      </c>
      <c r="E50" s="71">
        <v>0</v>
      </c>
      <c r="F50" s="71">
        <v>2</v>
      </c>
      <c r="G50" s="72">
        <v>12</v>
      </c>
      <c r="H50" s="71">
        <v>5</v>
      </c>
      <c r="I50" s="71">
        <v>4</v>
      </c>
      <c r="J50" s="71">
        <v>7</v>
      </c>
      <c r="K50" s="71">
        <v>0</v>
      </c>
      <c r="L50" s="71">
        <v>0</v>
      </c>
      <c r="M50" s="71">
        <v>0</v>
      </c>
      <c r="N50" s="71">
        <f t="shared" si="1"/>
        <v>30</v>
      </c>
    </row>
    <row r="51" spans="1:14" x14ac:dyDescent="0.25">
      <c r="A51" s="83" t="s">
        <v>155</v>
      </c>
      <c r="B51" s="74">
        <v>1</v>
      </c>
      <c r="C51" s="71">
        <v>1</v>
      </c>
      <c r="D51" s="71">
        <v>2</v>
      </c>
      <c r="E51" s="71">
        <v>4</v>
      </c>
      <c r="F51" s="71">
        <v>3</v>
      </c>
      <c r="G51" s="72">
        <v>0</v>
      </c>
      <c r="H51" s="71">
        <v>0</v>
      </c>
      <c r="I51" s="71">
        <v>0</v>
      </c>
      <c r="J51" s="71">
        <v>0</v>
      </c>
      <c r="K51" s="71">
        <v>7</v>
      </c>
      <c r="L51" s="71">
        <v>3</v>
      </c>
      <c r="M51" s="71">
        <v>0</v>
      </c>
      <c r="N51" s="71">
        <f t="shared" si="1"/>
        <v>21</v>
      </c>
    </row>
    <row r="52" spans="1:14" x14ac:dyDescent="0.25">
      <c r="A52" s="78" t="s">
        <v>77</v>
      </c>
      <c r="B52" s="82">
        <v>19</v>
      </c>
      <c r="C52" s="71">
        <v>19</v>
      </c>
      <c r="D52" s="71">
        <v>22</v>
      </c>
      <c r="E52" s="71">
        <v>15</v>
      </c>
      <c r="F52" s="71">
        <v>20</v>
      </c>
      <c r="G52" s="71">
        <v>15</v>
      </c>
      <c r="H52" s="71">
        <v>0</v>
      </c>
      <c r="I52" s="71">
        <v>0</v>
      </c>
      <c r="J52" s="71">
        <v>19</v>
      </c>
      <c r="K52" s="71">
        <v>21</v>
      </c>
      <c r="L52" s="71">
        <v>18</v>
      </c>
      <c r="M52" s="71">
        <v>12</v>
      </c>
      <c r="N52" s="72">
        <f t="shared" si="1"/>
        <v>180</v>
      </c>
    </row>
    <row r="53" spans="1:14" x14ac:dyDescent="0.25">
      <c r="A53" s="78" t="s">
        <v>26</v>
      </c>
      <c r="B53" s="82">
        <v>701</v>
      </c>
      <c r="C53" s="71">
        <v>638</v>
      </c>
      <c r="D53" s="71">
        <v>704</v>
      </c>
      <c r="E53" s="71">
        <v>702</v>
      </c>
      <c r="F53" s="71">
        <v>735</v>
      </c>
      <c r="G53" s="71">
        <v>723</v>
      </c>
      <c r="H53" s="71">
        <v>738</v>
      </c>
      <c r="I53" s="71">
        <v>757</v>
      </c>
      <c r="J53" s="71">
        <v>749</v>
      </c>
      <c r="K53" s="71">
        <v>723</v>
      </c>
      <c r="L53" s="71">
        <v>724</v>
      </c>
      <c r="M53" s="71">
        <v>735</v>
      </c>
      <c r="N53" s="72">
        <f t="shared" si="1"/>
        <v>8629</v>
      </c>
    </row>
    <row r="54" spans="1:14" x14ac:dyDescent="0.25">
      <c r="A54" s="75" t="s">
        <v>158</v>
      </c>
      <c r="B54" s="66">
        <f t="shared" ref="B54:N54" si="2">SUM(B4:B53)</f>
        <v>12105</v>
      </c>
      <c r="C54" s="66">
        <f t="shared" si="2"/>
        <v>12276</v>
      </c>
      <c r="D54" s="66">
        <f t="shared" si="2"/>
        <v>14830</v>
      </c>
      <c r="E54" s="66">
        <f t="shared" si="2"/>
        <v>15577</v>
      </c>
      <c r="F54" s="66">
        <f t="shared" si="2"/>
        <v>19028</v>
      </c>
      <c r="G54" s="66">
        <f t="shared" si="2"/>
        <v>19122</v>
      </c>
      <c r="H54" s="66">
        <f>SUM(H4:H53)</f>
        <v>24346</v>
      </c>
      <c r="I54" s="66">
        <f t="shared" si="2"/>
        <v>21679</v>
      </c>
      <c r="J54" s="66">
        <f t="shared" si="2"/>
        <v>17849</v>
      </c>
      <c r="K54" s="66">
        <f t="shared" si="2"/>
        <v>15571</v>
      </c>
      <c r="L54" s="66">
        <f t="shared" si="2"/>
        <v>13570</v>
      </c>
      <c r="M54" s="66">
        <f t="shared" si="2"/>
        <v>13005</v>
      </c>
      <c r="N54" s="66">
        <f t="shared" si="2"/>
        <v>198958</v>
      </c>
    </row>
    <row r="56" spans="1:14" x14ac:dyDescent="0.25">
      <c r="A56" s="76" t="s">
        <v>86</v>
      </c>
      <c r="B56" s="77">
        <f t="shared" ref="B56:D56" si="3">+B4+B8+B5+B6</f>
        <v>4070</v>
      </c>
      <c r="C56" s="77">
        <f t="shared" si="3"/>
        <v>4140</v>
      </c>
      <c r="D56" s="77">
        <f t="shared" si="3"/>
        <v>4840</v>
      </c>
      <c r="E56" s="77">
        <f>+E4+E8+E5+E6</f>
        <v>4910</v>
      </c>
      <c r="F56" s="77">
        <f t="shared" ref="F56:N56" si="4">+F4+F8+F5+F6</f>
        <v>6080</v>
      </c>
      <c r="G56" s="77">
        <f t="shared" si="4"/>
        <v>4740</v>
      </c>
      <c r="H56" s="77">
        <f t="shared" si="4"/>
        <v>4830</v>
      </c>
      <c r="I56" s="77">
        <f t="shared" si="4"/>
        <v>4330</v>
      </c>
      <c r="J56" s="77">
        <f t="shared" si="4"/>
        <v>4250</v>
      </c>
      <c r="K56" s="77">
        <f t="shared" si="4"/>
        <v>4640</v>
      </c>
      <c r="L56" s="77">
        <f t="shared" si="4"/>
        <v>4690</v>
      </c>
      <c r="M56" s="77">
        <f t="shared" si="4"/>
        <v>4280</v>
      </c>
      <c r="N56" s="77">
        <f t="shared" si="4"/>
        <v>55800</v>
      </c>
    </row>
    <row r="57" spans="1:14" x14ac:dyDescent="0.25">
      <c r="A57" s="76" t="s">
        <v>157</v>
      </c>
      <c r="B57" s="77">
        <f>+B12+B31</f>
        <v>2875</v>
      </c>
      <c r="C57" s="77">
        <f t="shared" ref="C57:M57" si="5">+C12+C31</f>
        <v>2600</v>
      </c>
      <c r="D57" s="77">
        <f t="shared" si="5"/>
        <v>3600</v>
      </c>
      <c r="E57" s="77">
        <f t="shared" si="5"/>
        <v>3325</v>
      </c>
      <c r="F57" s="77">
        <f t="shared" si="5"/>
        <v>4575</v>
      </c>
      <c r="G57" s="77">
        <f t="shared" si="5"/>
        <v>5250</v>
      </c>
      <c r="H57" s="77">
        <f t="shared" si="5"/>
        <v>5700</v>
      </c>
      <c r="I57" s="77">
        <f t="shared" si="5"/>
        <v>4775</v>
      </c>
      <c r="J57" s="77">
        <f t="shared" si="5"/>
        <v>4550</v>
      </c>
      <c r="K57" s="77">
        <f t="shared" si="5"/>
        <v>4450</v>
      </c>
      <c r="L57" s="77">
        <f t="shared" si="5"/>
        <v>3125</v>
      </c>
      <c r="M57" s="77">
        <f t="shared" si="5"/>
        <v>2775</v>
      </c>
      <c r="N57" s="77">
        <f>+N12+N31</f>
        <v>47600</v>
      </c>
    </row>
    <row r="58" spans="1:14" x14ac:dyDescent="0.25">
      <c r="A58" s="78" t="s">
        <v>50</v>
      </c>
      <c r="B58" s="77">
        <f>+B4+B7+B8+B9+B15+B16+B20+B21+B24+B25+B28+B29+B34+B35+B36+B37+B38+B39+B40+B41+B42+B43+B44+B45+B46+B47+B48+B49+B50+B51</f>
        <v>4820</v>
      </c>
      <c r="C58" s="77">
        <f t="shared" ref="C58:H58" si="6">+C4+C7+C8+C9+C15+C16+C20+C21+C24+C25+C28+C29+C34+C35+C36+C37+C38+C39+C40+C41+C42+C43+C44+C45+C46+C47+C48+C49+C50+C51</f>
        <v>5351</v>
      </c>
      <c r="D58" s="77">
        <f t="shared" si="6"/>
        <v>6027</v>
      </c>
      <c r="E58" s="77">
        <f t="shared" si="6"/>
        <v>6409</v>
      </c>
      <c r="F58" s="77">
        <f t="shared" si="6"/>
        <v>7331</v>
      </c>
      <c r="G58" s="77">
        <f t="shared" si="6"/>
        <v>6710</v>
      </c>
      <c r="H58" s="77">
        <f t="shared" si="6"/>
        <v>8028</v>
      </c>
      <c r="I58" s="77">
        <f>+I4+I7+I8+I9+I15+I16+I20+I21+I24+I25+I28+I29+I34+I35+I36+I37+I38+I39+I40+I41+I42+I43+I44+I45+I46+I47+I48+I49+I50+I51+I17</f>
        <v>7346</v>
      </c>
      <c r="J58" s="77">
        <f t="shared" ref="J58:N58" si="7">+J4+J7+J8+J9+J15+J16+J20+J21+J24+J25+J28+J29+J34+J35+J36+J37+J38+J39+J40+J41+J42+J43+J44+J45+J46+J47+J48+J49+J50+J51+J17</f>
        <v>6434</v>
      </c>
      <c r="K58" s="77">
        <f t="shared" si="7"/>
        <v>5558</v>
      </c>
      <c r="L58" s="77">
        <f t="shared" si="7"/>
        <v>5588</v>
      </c>
      <c r="M58" s="77">
        <f t="shared" si="7"/>
        <v>5418</v>
      </c>
      <c r="N58" s="77">
        <f t="shared" si="7"/>
        <v>75020</v>
      </c>
    </row>
    <row r="59" spans="1:14" x14ac:dyDescent="0.25">
      <c r="A59" s="78" t="s">
        <v>28</v>
      </c>
      <c r="B59" s="77">
        <f>SUM(B4:B51)-B23-B30-B22</f>
        <v>11364</v>
      </c>
      <c r="C59" s="77">
        <f t="shared" ref="C59:M59" si="8">SUM(C4:C51)-C23-C30-C22</f>
        <v>11600</v>
      </c>
      <c r="D59" s="77">
        <f t="shared" si="8"/>
        <v>14079</v>
      </c>
      <c r="E59" s="77">
        <f t="shared" si="8"/>
        <v>14842</v>
      </c>
      <c r="F59" s="77">
        <f t="shared" si="8"/>
        <v>18249</v>
      </c>
      <c r="G59" s="77">
        <f t="shared" si="8"/>
        <v>18358</v>
      </c>
      <c r="H59" s="77">
        <f t="shared" si="8"/>
        <v>23603</v>
      </c>
      <c r="I59" s="77">
        <f t="shared" si="8"/>
        <v>20918</v>
      </c>
      <c r="J59" s="77">
        <f t="shared" si="8"/>
        <v>17061</v>
      </c>
      <c r="K59" s="77">
        <f t="shared" si="8"/>
        <v>14796</v>
      </c>
      <c r="L59" s="77">
        <f t="shared" si="8"/>
        <v>12808</v>
      </c>
      <c r="M59" s="77">
        <f t="shared" si="8"/>
        <v>12246</v>
      </c>
      <c r="N59" s="77">
        <f>SUM(N4:N51)-N23-N30-N22</f>
        <v>189924</v>
      </c>
    </row>
    <row r="60" spans="1:14" x14ac:dyDescent="0.25">
      <c r="A60" s="78" t="s">
        <v>46</v>
      </c>
      <c r="B60" s="77">
        <f>SUM(B4:B51)-B23-B30-B52-B53-B22</f>
        <v>10644</v>
      </c>
      <c r="C60" s="77">
        <f t="shared" ref="C60:M60" si="9">SUM(C4:C51)-C23-C30-C52-C53-C22</f>
        <v>10943</v>
      </c>
      <c r="D60" s="77">
        <f t="shared" si="9"/>
        <v>13353</v>
      </c>
      <c r="E60" s="77">
        <f t="shared" si="9"/>
        <v>14125</v>
      </c>
      <c r="F60" s="77">
        <f t="shared" si="9"/>
        <v>17494</v>
      </c>
      <c r="G60" s="77">
        <f t="shared" si="9"/>
        <v>17620</v>
      </c>
      <c r="H60" s="77">
        <f t="shared" si="9"/>
        <v>22865</v>
      </c>
      <c r="I60" s="77">
        <f t="shared" si="9"/>
        <v>20161</v>
      </c>
      <c r="J60" s="77">
        <f t="shared" si="9"/>
        <v>16293</v>
      </c>
      <c r="K60" s="77">
        <f t="shared" si="9"/>
        <v>14052</v>
      </c>
      <c r="L60" s="77">
        <f t="shared" si="9"/>
        <v>12066</v>
      </c>
      <c r="M60" s="77">
        <f t="shared" si="9"/>
        <v>11499</v>
      </c>
      <c r="N60" s="77">
        <f>SUM(N4:N51)-N23-N30-N52-N53-N22</f>
        <v>181115</v>
      </c>
    </row>
    <row r="61" spans="1:14" x14ac:dyDescent="0.25">
      <c r="A61" s="78" t="s">
        <v>52</v>
      </c>
      <c r="B61" s="77">
        <f>+B10+B11+B12+B13+B14+B26+B27+B32+B33</f>
        <v>3043</v>
      </c>
      <c r="C61" s="77">
        <f t="shared" ref="C61:M61" si="10">+C10+C11+C12+C13+C14+C26+C27+C32+C33</f>
        <v>3282</v>
      </c>
      <c r="D61" s="77">
        <f t="shared" si="10"/>
        <v>3975</v>
      </c>
      <c r="E61" s="77">
        <f t="shared" si="10"/>
        <v>4704</v>
      </c>
      <c r="F61" s="77">
        <f t="shared" si="10"/>
        <v>5711</v>
      </c>
      <c r="G61" s="77">
        <f t="shared" si="10"/>
        <v>7106</v>
      </c>
      <c r="H61" s="77">
        <f t="shared" si="10"/>
        <v>10471</v>
      </c>
      <c r="I61" s="77">
        <f t="shared" si="10"/>
        <v>9113</v>
      </c>
      <c r="J61" s="77">
        <f t="shared" si="10"/>
        <v>6634</v>
      </c>
      <c r="K61" s="77">
        <f t="shared" si="10"/>
        <v>4815</v>
      </c>
      <c r="L61" s="77">
        <f t="shared" si="10"/>
        <v>3606</v>
      </c>
      <c r="M61" s="77">
        <f t="shared" si="10"/>
        <v>3433</v>
      </c>
      <c r="N61" s="77">
        <f>+N10+N11+N12+N13+N14+N26+N27+N32+N33</f>
        <v>65893</v>
      </c>
    </row>
    <row r="62" spans="1:14" x14ac:dyDescent="0.25">
      <c r="A62" s="79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</row>
    <row r="66" spans="1:14" x14ac:dyDescent="0.25">
      <c r="A66" s="76" t="s">
        <v>179</v>
      </c>
      <c r="B66" s="77">
        <f>+B4+B7+B8+B9+B5+B6</f>
        <v>4070</v>
      </c>
      <c r="C66" s="77">
        <f t="shared" ref="C66:N66" si="11">+C4+C7+C8+C9+C5+C6</f>
        <v>4160</v>
      </c>
      <c r="D66" s="77">
        <f t="shared" si="11"/>
        <v>4860</v>
      </c>
      <c r="E66" s="77">
        <f t="shared" si="11"/>
        <v>4930</v>
      </c>
      <c r="F66" s="77">
        <f t="shared" si="11"/>
        <v>6080</v>
      </c>
      <c r="G66" s="77">
        <f t="shared" si="11"/>
        <v>4800</v>
      </c>
      <c r="H66" s="77">
        <f t="shared" si="11"/>
        <v>4890</v>
      </c>
      <c r="I66" s="77">
        <f t="shared" si="11"/>
        <v>4410</v>
      </c>
      <c r="J66" s="77">
        <f t="shared" si="11"/>
        <v>4330</v>
      </c>
      <c r="K66" s="77">
        <f t="shared" si="11"/>
        <v>4640</v>
      </c>
      <c r="L66" s="77">
        <f t="shared" si="11"/>
        <v>4710</v>
      </c>
      <c r="M66" s="77">
        <f t="shared" si="11"/>
        <v>4300</v>
      </c>
      <c r="N66" s="77">
        <f t="shared" si="11"/>
        <v>56180</v>
      </c>
    </row>
    <row r="67" spans="1:14" x14ac:dyDescent="0.25">
      <c r="A67" s="76" t="s">
        <v>177</v>
      </c>
      <c r="B67" s="77">
        <f>+B15+B16+B24+B25</f>
        <v>2289</v>
      </c>
      <c r="C67" s="77">
        <f t="shared" ref="C67:N67" si="12">+C15+C16+C24+C25</f>
        <v>2498</v>
      </c>
      <c r="D67" s="77">
        <f t="shared" si="12"/>
        <v>2874</v>
      </c>
      <c r="E67" s="77">
        <f t="shared" si="12"/>
        <v>3070</v>
      </c>
      <c r="F67" s="77">
        <f t="shared" si="12"/>
        <v>3335</v>
      </c>
      <c r="G67" s="77">
        <f t="shared" si="12"/>
        <v>3289</v>
      </c>
      <c r="H67" s="77">
        <f t="shared" si="12"/>
        <v>4459</v>
      </c>
      <c r="I67" s="77">
        <f t="shared" si="12"/>
        <v>4241</v>
      </c>
      <c r="J67" s="77">
        <f t="shared" si="12"/>
        <v>3198</v>
      </c>
      <c r="K67" s="77">
        <f t="shared" si="12"/>
        <v>2631</v>
      </c>
      <c r="L67" s="77">
        <f t="shared" si="12"/>
        <v>2446</v>
      </c>
      <c r="M67" s="77">
        <f t="shared" si="12"/>
        <v>2700</v>
      </c>
      <c r="N67" s="77">
        <f t="shared" si="12"/>
        <v>37030</v>
      </c>
    </row>
    <row r="68" spans="1:14" x14ac:dyDescent="0.25">
      <c r="A68" s="78" t="s">
        <v>178</v>
      </c>
      <c r="B68" s="77">
        <f>+B20+B21+B28+B29</f>
        <v>2</v>
      </c>
      <c r="C68" s="77">
        <f t="shared" ref="C68:N68" si="13">+C20+C21+C28+C29</f>
        <v>10</v>
      </c>
      <c r="D68" s="77">
        <f t="shared" si="13"/>
        <v>4</v>
      </c>
      <c r="E68" s="77">
        <f t="shared" si="13"/>
        <v>6</v>
      </c>
      <c r="F68" s="77">
        <f t="shared" si="13"/>
        <v>10</v>
      </c>
      <c r="G68" s="77">
        <f t="shared" si="13"/>
        <v>22</v>
      </c>
      <c r="H68" s="77">
        <f t="shared" si="13"/>
        <v>44</v>
      </c>
      <c r="I68" s="77">
        <f t="shared" si="13"/>
        <v>53</v>
      </c>
      <c r="J68" s="77">
        <f t="shared" si="13"/>
        <v>36</v>
      </c>
      <c r="K68" s="77">
        <f t="shared" si="13"/>
        <v>13</v>
      </c>
      <c r="L68" s="77">
        <f t="shared" si="13"/>
        <v>4</v>
      </c>
      <c r="M68" s="77">
        <f t="shared" si="13"/>
        <v>3</v>
      </c>
      <c r="N68" s="77">
        <f t="shared" si="13"/>
        <v>207</v>
      </c>
    </row>
    <row r="69" spans="1:14" x14ac:dyDescent="0.25">
      <c r="A69" s="78" t="s">
        <v>180</v>
      </c>
      <c r="B69" s="77">
        <f>+B34+B35+B36+B37+B38+B39+B40+B41+B42+B43+B44+B45+B46+B47+B48+B49+B50+B51</f>
        <v>359</v>
      </c>
      <c r="C69" s="77">
        <f t="shared" ref="C69:H69" si="14">+C34+C35+C36+C37+C38+C39+C40+C41+C42+C43+C44+C45+C46+C47+C48+C49+C50+C51</f>
        <v>423</v>
      </c>
      <c r="D69" s="77">
        <f t="shared" si="14"/>
        <v>489</v>
      </c>
      <c r="E69" s="77">
        <f t="shared" si="14"/>
        <v>453</v>
      </c>
      <c r="F69" s="77">
        <f t="shared" si="14"/>
        <v>586</v>
      </c>
      <c r="G69" s="77">
        <f t="shared" si="14"/>
        <v>689</v>
      </c>
      <c r="H69" s="77">
        <f t="shared" si="14"/>
        <v>585</v>
      </c>
      <c r="I69" s="77">
        <f>+I34+I35+I36+I37+I38+I39+I40+I41+I42+I43+I44+I45+I46+I47+I48+I49+I50+I51+I17</f>
        <v>672</v>
      </c>
      <c r="J69" s="77">
        <f t="shared" ref="J69:N69" si="15">+J34+J35+J36+J37+J38+J39+J40+J41+J42+J43+J44+J45+J46+J47+J48+J49+J50+J51+J17</f>
        <v>510</v>
      </c>
      <c r="K69" s="77">
        <f t="shared" si="15"/>
        <v>494</v>
      </c>
      <c r="L69" s="77">
        <f t="shared" si="15"/>
        <v>488</v>
      </c>
      <c r="M69" s="77">
        <f t="shared" si="15"/>
        <v>335</v>
      </c>
      <c r="N69" s="77">
        <f t="shared" si="15"/>
        <v>6083</v>
      </c>
    </row>
    <row r="70" spans="1:14" x14ac:dyDescent="0.25">
      <c r="A70" s="78" t="s">
        <v>157</v>
      </c>
      <c r="B70" s="77">
        <f>+B12+B31</f>
        <v>2875</v>
      </c>
      <c r="C70" s="77">
        <f t="shared" ref="C70:N70" si="16">+C12+C31</f>
        <v>2600</v>
      </c>
      <c r="D70" s="77">
        <f t="shared" si="16"/>
        <v>3600</v>
      </c>
      <c r="E70" s="77">
        <f t="shared" si="16"/>
        <v>3325</v>
      </c>
      <c r="F70" s="77">
        <f t="shared" si="16"/>
        <v>4575</v>
      </c>
      <c r="G70" s="77">
        <f t="shared" si="16"/>
        <v>5250</v>
      </c>
      <c r="H70" s="77">
        <f t="shared" si="16"/>
        <v>5700</v>
      </c>
      <c r="I70" s="77">
        <f t="shared" si="16"/>
        <v>4775</v>
      </c>
      <c r="J70" s="77">
        <f t="shared" si="16"/>
        <v>4550</v>
      </c>
      <c r="K70" s="77">
        <f t="shared" si="16"/>
        <v>4450</v>
      </c>
      <c r="L70" s="77">
        <f t="shared" si="16"/>
        <v>3125</v>
      </c>
      <c r="M70" s="77">
        <f t="shared" si="16"/>
        <v>2775</v>
      </c>
      <c r="N70" s="77">
        <f t="shared" si="16"/>
        <v>47600</v>
      </c>
    </row>
    <row r="71" spans="1:14" x14ac:dyDescent="0.25">
      <c r="A71" s="78" t="s">
        <v>181</v>
      </c>
      <c r="B71" s="77">
        <f>+B13+B14+B26+B27</f>
        <v>1768</v>
      </c>
      <c r="C71" s="77">
        <f t="shared" ref="C71:N71" si="17">+C13+C14+C26+C27</f>
        <v>1907</v>
      </c>
      <c r="D71" s="77">
        <f t="shared" si="17"/>
        <v>2250</v>
      </c>
      <c r="E71" s="77">
        <f t="shared" si="17"/>
        <v>3054</v>
      </c>
      <c r="F71" s="77">
        <f t="shared" si="17"/>
        <v>3661</v>
      </c>
      <c r="G71" s="77">
        <f t="shared" si="17"/>
        <v>4306</v>
      </c>
      <c r="H71" s="77">
        <f t="shared" si="17"/>
        <v>7921</v>
      </c>
      <c r="I71" s="77">
        <f t="shared" si="17"/>
        <v>6763</v>
      </c>
      <c r="J71" s="77">
        <f t="shared" si="17"/>
        <v>4434</v>
      </c>
      <c r="K71" s="77">
        <f t="shared" si="17"/>
        <v>2565</v>
      </c>
      <c r="L71" s="77">
        <f t="shared" si="17"/>
        <v>2031</v>
      </c>
      <c r="M71" s="77">
        <f t="shared" si="17"/>
        <v>2133</v>
      </c>
      <c r="N71" s="77">
        <f t="shared" si="17"/>
        <v>42793</v>
      </c>
    </row>
    <row r="72" spans="1:14" x14ac:dyDescent="0.25">
      <c r="A72" s="78" t="s">
        <v>182</v>
      </c>
      <c r="B72" s="77">
        <f>+B10+B11+B32+B33</f>
        <v>0</v>
      </c>
      <c r="C72" s="77">
        <f t="shared" ref="C72:N72" si="18">+C10+C11+C32+C33</f>
        <v>0</v>
      </c>
      <c r="D72" s="77">
        <f t="shared" si="18"/>
        <v>0</v>
      </c>
      <c r="E72" s="77">
        <f t="shared" si="18"/>
        <v>0</v>
      </c>
      <c r="F72" s="77">
        <f t="shared" si="18"/>
        <v>0</v>
      </c>
      <c r="G72" s="77">
        <f t="shared" si="18"/>
        <v>0</v>
      </c>
      <c r="H72" s="77">
        <f t="shared" si="18"/>
        <v>0</v>
      </c>
      <c r="I72" s="77">
        <f t="shared" si="18"/>
        <v>0</v>
      </c>
      <c r="J72" s="77">
        <f t="shared" si="18"/>
        <v>0</v>
      </c>
      <c r="K72" s="77">
        <f t="shared" si="18"/>
        <v>0</v>
      </c>
      <c r="L72" s="77">
        <f t="shared" si="18"/>
        <v>0</v>
      </c>
      <c r="M72" s="77">
        <f t="shared" si="18"/>
        <v>0</v>
      </c>
      <c r="N72" s="77">
        <f t="shared" si="18"/>
        <v>0</v>
      </c>
    </row>
  </sheetData>
  <pageMargins left="0.7" right="0.7" top="0.75" bottom="0.75" header="0.3" footer="0.3"/>
  <pageSetup scale="6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78"/>
  <sheetViews>
    <sheetView workbookViewId="0">
      <pane xSplit="1" ySplit="3" topLeftCell="B61" activePane="bottomRight" state="frozen"/>
      <selection pane="topRight" activeCell="B1" sqref="B1"/>
      <selection pane="bottomLeft" activeCell="A4" sqref="A4"/>
      <selection pane="bottomRight" activeCell="O66" sqref="O66"/>
    </sheetView>
  </sheetViews>
  <sheetFormatPr defaultColWidth="9.75" defaultRowHeight="16.2" x14ac:dyDescent="0.25"/>
  <cols>
    <col min="1" max="1" width="31.4140625" style="32" customWidth="1"/>
    <col min="2" max="2" width="6.75" style="32" customWidth="1"/>
    <col min="3" max="3" width="7" style="32" customWidth="1"/>
    <col min="4" max="13" width="6.75" style="32" customWidth="1"/>
    <col min="14" max="16384" width="9.75" style="32"/>
  </cols>
  <sheetData>
    <row r="1" spans="1:15" ht="18.600000000000001" x14ac:dyDescent="0.25">
      <c r="A1" s="31" t="s">
        <v>106</v>
      </c>
    </row>
    <row r="3" spans="1:15" ht="16.8" x14ac:dyDescent="0.25">
      <c r="A3" s="33" t="s">
        <v>1</v>
      </c>
      <c r="B3" s="34" t="s">
        <v>29</v>
      </c>
      <c r="C3" s="34" t="s">
        <v>30</v>
      </c>
      <c r="D3" s="34" t="s">
        <v>31</v>
      </c>
      <c r="E3" s="34" t="s">
        <v>32</v>
      </c>
      <c r="F3" s="34" t="s">
        <v>33</v>
      </c>
      <c r="G3" s="34" t="s">
        <v>34</v>
      </c>
      <c r="H3" s="34" t="s">
        <v>35</v>
      </c>
      <c r="I3" s="34" t="s">
        <v>36</v>
      </c>
      <c r="J3" s="34" t="s">
        <v>37</v>
      </c>
      <c r="K3" s="34" t="s">
        <v>38</v>
      </c>
      <c r="L3" s="34" t="s">
        <v>39</v>
      </c>
      <c r="M3" s="34" t="s">
        <v>40</v>
      </c>
      <c r="N3" s="35" t="s">
        <v>41</v>
      </c>
      <c r="O3" s="36"/>
    </row>
    <row r="4" spans="1:15" x14ac:dyDescent="0.25">
      <c r="A4" s="33" t="s">
        <v>56</v>
      </c>
      <c r="B4" s="37">
        <v>190</v>
      </c>
      <c r="C4" s="37">
        <v>210</v>
      </c>
      <c r="D4" s="37">
        <v>230</v>
      </c>
      <c r="E4" s="37">
        <v>260</v>
      </c>
      <c r="F4" s="37">
        <v>490</v>
      </c>
      <c r="G4" s="37">
        <v>650</v>
      </c>
      <c r="H4" s="37">
        <v>870</v>
      </c>
      <c r="I4" s="37">
        <v>710</v>
      </c>
      <c r="J4" s="37">
        <v>470</v>
      </c>
      <c r="K4" s="37">
        <v>500</v>
      </c>
      <c r="L4" s="37">
        <v>380</v>
      </c>
      <c r="M4" s="37">
        <v>280</v>
      </c>
      <c r="N4" s="37">
        <f t="shared" ref="N4:N59" si="0">SUM(B4:M4)</f>
        <v>5240</v>
      </c>
      <c r="O4" s="36"/>
    </row>
    <row r="5" spans="1:15" x14ac:dyDescent="0.25">
      <c r="A5" s="33" t="s">
        <v>58</v>
      </c>
      <c r="B5" s="37"/>
      <c r="C5" s="37"/>
      <c r="D5" s="37"/>
      <c r="E5" s="37"/>
      <c r="F5" s="37">
        <v>30</v>
      </c>
      <c r="G5" s="37">
        <v>30</v>
      </c>
      <c r="H5" s="37">
        <v>20</v>
      </c>
      <c r="I5" s="37">
        <v>10</v>
      </c>
      <c r="J5" s="37"/>
      <c r="K5" s="37"/>
      <c r="L5" s="37"/>
      <c r="M5" s="37">
        <v>10</v>
      </c>
      <c r="N5" s="37">
        <f t="shared" si="0"/>
        <v>100</v>
      </c>
      <c r="O5" s="36"/>
    </row>
    <row r="6" spans="1:15" x14ac:dyDescent="0.25">
      <c r="A6" s="33" t="s">
        <v>107</v>
      </c>
      <c r="B6" s="37"/>
      <c r="C6" s="37"/>
      <c r="D6" s="37"/>
      <c r="E6" s="37"/>
      <c r="F6" s="37">
        <v>540</v>
      </c>
      <c r="G6" s="37">
        <v>330</v>
      </c>
      <c r="H6" s="37">
        <v>440</v>
      </c>
      <c r="I6" s="37">
        <v>360</v>
      </c>
      <c r="J6" s="37">
        <v>410</v>
      </c>
      <c r="K6" s="37">
        <v>220</v>
      </c>
      <c r="L6" s="37">
        <v>250</v>
      </c>
      <c r="M6" s="37">
        <v>160</v>
      </c>
      <c r="N6" s="37">
        <f t="shared" si="0"/>
        <v>2710</v>
      </c>
      <c r="O6" s="36"/>
    </row>
    <row r="7" spans="1:15" x14ac:dyDescent="0.25">
      <c r="A7" s="33" t="s">
        <v>57</v>
      </c>
      <c r="B7" s="37">
        <v>860</v>
      </c>
      <c r="C7" s="37">
        <v>640</v>
      </c>
      <c r="D7" s="37">
        <v>720</v>
      </c>
      <c r="E7" s="37">
        <v>640</v>
      </c>
      <c r="F7" s="37">
        <v>1000</v>
      </c>
      <c r="G7" s="37">
        <v>860</v>
      </c>
      <c r="H7" s="37">
        <v>1060</v>
      </c>
      <c r="I7" s="37">
        <v>1060</v>
      </c>
      <c r="J7" s="37">
        <v>840</v>
      </c>
      <c r="K7" s="37">
        <v>820</v>
      </c>
      <c r="L7" s="37">
        <v>620</v>
      </c>
      <c r="M7" s="37">
        <v>220</v>
      </c>
      <c r="N7" s="37">
        <f t="shared" si="0"/>
        <v>9340</v>
      </c>
      <c r="O7" s="36"/>
    </row>
    <row r="8" spans="1:15" x14ac:dyDescent="0.25">
      <c r="A8" s="33" t="s">
        <v>59</v>
      </c>
      <c r="B8" s="37"/>
      <c r="C8" s="37"/>
      <c r="D8" s="37"/>
      <c r="E8" s="37"/>
      <c r="F8" s="37">
        <v>40</v>
      </c>
      <c r="G8" s="37"/>
      <c r="H8" s="37">
        <v>40</v>
      </c>
      <c r="I8" s="37">
        <v>20</v>
      </c>
      <c r="J8" s="37">
        <v>20</v>
      </c>
      <c r="K8" s="37">
        <v>20</v>
      </c>
      <c r="L8" s="37"/>
      <c r="M8" s="37"/>
      <c r="N8" s="37">
        <f t="shared" si="0"/>
        <v>140</v>
      </c>
      <c r="O8" s="36"/>
    </row>
    <row r="9" spans="1:15" x14ac:dyDescent="0.25">
      <c r="A9" s="33" t="s">
        <v>108</v>
      </c>
      <c r="B9" s="37"/>
      <c r="C9" s="37"/>
      <c r="D9" s="37"/>
      <c r="E9" s="37"/>
      <c r="F9" s="37">
        <v>1400</v>
      </c>
      <c r="G9" s="37">
        <v>600</v>
      </c>
      <c r="H9" s="37">
        <v>880</v>
      </c>
      <c r="I9" s="37">
        <v>640</v>
      </c>
      <c r="J9" s="37">
        <v>580</v>
      </c>
      <c r="K9" s="37">
        <v>600</v>
      </c>
      <c r="L9" s="37">
        <v>320</v>
      </c>
      <c r="M9" s="37">
        <v>100</v>
      </c>
      <c r="N9" s="37">
        <f t="shared" si="0"/>
        <v>5120</v>
      </c>
      <c r="O9" s="36"/>
    </row>
    <row r="10" spans="1:15" x14ac:dyDescent="0.25">
      <c r="A10" s="33" t="s">
        <v>79</v>
      </c>
      <c r="B10" s="37">
        <v>420</v>
      </c>
      <c r="C10" s="37">
        <v>60</v>
      </c>
      <c r="D10" s="37">
        <v>540</v>
      </c>
      <c r="E10" s="37">
        <v>240</v>
      </c>
      <c r="F10" s="37">
        <v>180</v>
      </c>
      <c r="G10" s="37">
        <v>420</v>
      </c>
      <c r="H10" s="37">
        <v>360</v>
      </c>
      <c r="I10" s="37">
        <v>480</v>
      </c>
      <c r="J10" s="37">
        <v>720</v>
      </c>
      <c r="K10" s="37">
        <v>120</v>
      </c>
      <c r="L10" s="37"/>
      <c r="M10" s="37"/>
      <c r="N10" s="37">
        <f t="shared" si="0"/>
        <v>3540</v>
      </c>
      <c r="O10" s="36"/>
    </row>
    <row r="11" spans="1:15" x14ac:dyDescent="0.25">
      <c r="A11" s="33" t="s">
        <v>80</v>
      </c>
      <c r="B11" s="37">
        <v>720</v>
      </c>
      <c r="C11" s="37">
        <v>360</v>
      </c>
      <c r="D11" s="37">
        <v>240</v>
      </c>
      <c r="E11" s="37">
        <v>240</v>
      </c>
      <c r="F11" s="37">
        <v>660</v>
      </c>
      <c r="G11" s="37">
        <v>120</v>
      </c>
      <c r="H11" s="37">
        <v>240</v>
      </c>
      <c r="I11" s="37">
        <v>660</v>
      </c>
      <c r="J11" s="37">
        <v>540</v>
      </c>
      <c r="K11" s="37">
        <v>60</v>
      </c>
      <c r="L11" s="37"/>
      <c r="M11" s="37"/>
      <c r="N11" s="37">
        <f t="shared" si="0"/>
        <v>3840</v>
      </c>
      <c r="O11" s="36"/>
    </row>
    <row r="12" spans="1:15" x14ac:dyDescent="0.25">
      <c r="A12" s="33" t="s">
        <v>81</v>
      </c>
      <c r="B12" s="37">
        <v>180</v>
      </c>
      <c r="C12" s="37">
        <v>240</v>
      </c>
      <c r="D12" s="37">
        <v>180</v>
      </c>
      <c r="E12" s="37">
        <v>60</v>
      </c>
      <c r="F12" s="37">
        <v>540</v>
      </c>
      <c r="G12" s="37">
        <v>360</v>
      </c>
      <c r="H12" s="37">
        <v>300</v>
      </c>
      <c r="I12" s="37">
        <v>300</v>
      </c>
      <c r="J12" s="37">
        <v>480</v>
      </c>
      <c r="K12" s="37">
        <v>240</v>
      </c>
      <c r="L12" s="37"/>
      <c r="M12" s="37"/>
      <c r="N12" s="37">
        <f t="shared" si="0"/>
        <v>2880</v>
      </c>
      <c r="O12" s="36"/>
    </row>
    <row r="13" spans="1:15" x14ac:dyDescent="0.25">
      <c r="A13" s="33" t="s">
        <v>82</v>
      </c>
      <c r="B13" s="37">
        <v>600</v>
      </c>
      <c r="C13" s="37">
        <v>360</v>
      </c>
      <c r="D13" s="37">
        <v>120</v>
      </c>
      <c r="E13" s="37">
        <v>360</v>
      </c>
      <c r="F13" s="37">
        <v>360</v>
      </c>
      <c r="G13" s="37">
        <v>360</v>
      </c>
      <c r="H13" s="37">
        <v>360</v>
      </c>
      <c r="I13" s="37"/>
      <c r="J13" s="37">
        <v>120</v>
      </c>
      <c r="K13" s="37"/>
      <c r="L13" s="37"/>
      <c r="M13" s="37"/>
      <c r="N13" s="37">
        <f t="shared" si="0"/>
        <v>2640</v>
      </c>
      <c r="O13" s="36"/>
    </row>
    <row r="14" spans="1:15" x14ac:dyDescent="0.25">
      <c r="A14" s="33" t="s">
        <v>83</v>
      </c>
      <c r="B14" s="37">
        <v>240</v>
      </c>
      <c r="C14" s="37">
        <v>360</v>
      </c>
      <c r="D14" s="37">
        <v>240</v>
      </c>
      <c r="E14" s="37">
        <v>120</v>
      </c>
      <c r="F14" s="37">
        <v>480</v>
      </c>
      <c r="G14" s="37">
        <v>480</v>
      </c>
      <c r="H14" s="37">
        <v>120</v>
      </c>
      <c r="I14" s="37"/>
      <c r="J14" s="37"/>
      <c r="K14" s="37"/>
      <c r="L14" s="37"/>
      <c r="M14" s="37"/>
      <c r="N14" s="37">
        <f t="shared" si="0"/>
        <v>2040</v>
      </c>
      <c r="O14" s="36"/>
    </row>
    <row r="15" spans="1:15" x14ac:dyDescent="0.25">
      <c r="A15" s="33" t="s">
        <v>84</v>
      </c>
      <c r="B15" s="37">
        <v>120</v>
      </c>
      <c r="C15" s="37"/>
      <c r="D15" s="37"/>
      <c r="E15" s="37">
        <v>240</v>
      </c>
      <c r="F15" s="37">
        <v>120</v>
      </c>
      <c r="G15" s="37"/>
      <c r="H15" s="37">
        <v>120</v>
      </c>
      <c r="I15" s="37"/>
      <c r="J15" s="37"/>
      <c r="K15" s="37"/>
      <c r="L15" s="37"/>
      <c r="M15" s="37"/>
      <c r="N15" s="37">
        <f t="shared" si="0"/>
        <v>600</v>
      </c>
      <c r="O15" s="36"/>
    </row>
    <row r="16" spans="1:15" x14ac:dyDescent="0.25">
      <c r="A16" s="33" t="s">
        <v>93</v>
      </c>
      <c r="B16" s="37"/>
      <c r="C16" s="37"/>
      <c r="D16" s="37"/>
      <c r="E16" s="37"/>
      <c r="F16" s="37"/>
      <c r="G16" s="37">
        <v>120</v>
      </c>
      <c r="H16" s="37"/>
      <c r="I16" s="37"/>
      <c r="J16" s="37"/>
      <c r="K16" s="37"/>
      <c r="L16" s="37"/>
      <c r="M16" s="37"/>
      <c r="N16" s="37">
        <f t="shared" si="0"/>
        <v>120</v>
      </c>
      <c r="O16" s="36"/>
    </row>
    <row r="17" spans="1:15" x14ac:dyDescent="0.25">
      <c r="A17" s="33" t="s">
        <v>109</v>
      </c>
      <c r="B17" s="37">
        <v>24</v>
      </c>
      <c r="C17" s="37">
        <v>75</v>
      </c>
      <c r="D17" s="37">
        <v>52</v>
      </c>
      <c r="E17" s="37">
        <v>75</v>
      </c>
      <c r="F17" s="37">
        <v>115</v>
      </c>
      <c r="G17" s="37"/>
      <c r="H17" s="37"/>
      <c r="I17" s="37"/>
      <c r="J17" s="37">
        <v>135</v>
      </c>
      <c r="K17" s="37">
        <v>89</v>
      </c>
      <c r="L17" s="37">
        <v>66</v>
      </c>
      <c r="M17" s="37">
        <v>42</v>
      </c>
      <c r="N17" s="37">
        <f t="shared" si="0"/>
        <v>673</v>
      </c>
      <c r="O17" s="36"/>
    </row>
    <row r="18" spans="1:15" x14ac:dyDescent="0.25">
      <c r="A18" s="33" t="s">
        <v>110</v>
      </c>
      <c r="B18" s="37"/>
      <c r="C18" s="37"/>
      <c r="D18" s="37"/>
      <c r="E18" s="37"/>
      <c r="F18" s="37">
        <v>55</v>
      </c>
      <c r="G18" s="37">
        <v>179</v>
      </c>
      <c r="H18" s="37">
        <v>374</v>
      </c>
      <c r="I18" s="37">
        <v>352</v>
      </c>
      <c r="J18" s="37">
        <v>80</v>
      </c>
      <c r="K18" s="37"/>
      <c r="L18" s="37"/>
      <c r="M18" s="37"/>
      <c r="N18" s="37">
        <f t="shared" si="0"/>
        <v>1040</v>
      </c>
      <c r="O18" s="36"/>
    </row>
    <row r="19" spans="1:15" x14ac:dyDescent="0.25">
      <c r="A19" s="33" t="s">
        <v>60</v>
      </c>
      <c r="B19" s="37">
        <v>1075</v>
      </c>
      <c r="C19" s="37">
        <v>875</v>
      </c>
      <c r="D19" s="37">
        <v>825</v>
      </c>
      <c r="E19" s="37">
        <v>1450</v>
      </c>
      <c r="F19" s="37">
        <v>2575</v>
      </c>
      <c r="G19" s="37">
        <v>2100</v>
      </c>
      <c r="H19" s="37">
        <v>2350</v>
      </c>
      <c r="I19" s="37">
        <v>1975</v>
      </c>
      <c r="J19" s="37">
        <v>1500</v>
      </c>
      <c r="K19" s="37">
        <v>1525</v>
      </c>
      <c r="L19" s="37">
        <v>1475</v>
      </c>
      <c r="M19" s="37">
        <v>1250</v>
      </c>
      <c r="N19" s="37">
        <f t="shared" si="0"/>
        <v>18975</v>
      </c>
      <c r="O19" s="36"/>
    </row>
    <row r="20" spans="1:15" x14ac:dyDescent="0.25">
      <c r="A20" s="33" t="s">
        <v>111</v>
      </c>
      <c r="B20" s="37"/>
      <c r="C20" s="37"/>
      <c r="D20" s="37"/>
      <c r="E20" s="37"/>
      <c r="F20" s="37">
        <v>1706</v>
      </c>
      <c r="G20" s="37">
        <v>3555</v>
      </c>
      <c r="H20" s="37">
        <v>5230</v>
      </c>
      <c r="I20" s="37">
        <v>5375</v>
      </c>
      <c r="J20" s="37">
        <v>1050</v>
      </c>
      <c r="K20" s="37"/>
      <c r="L20" s="37"/>
      <c r="M20" s="37"/>
      <c r="N20" s="37">
        <f t="shared" si="0"/>
        <v>16916</v>
      </c>
      <c r="O20" s="36"/>
    </row>
    <row r="21" spans="1:15" x14ac:dyDescent="0.25">
      <c r="A21" s="33" t="s">
        <v>5</v>
      </c>
      <c r="B21" s="37">
        <v>2636</v>
      </c>
      <c r="C21" s="37">
        <v>2856</v>
      </c>
      <c r="D21" s="37">
        <v>3104</v>
      </c>
      <c r="E21" s="37">
        <v>3017</v>
      </c>
      <c r="F21" s="37">
        <v>2882</v>
      </c>
      <c r="G21" s="37"/>
      <c r="H21" s="37"/>
      <c r="I21" s="37"/>
      <c r="J21" s="37">
        <v>2129</v>
      </c>
      <c r="K21" s="37">
        <v>2662</v>
      </c>
      <c r="L21" s="37">
        <v>2610</v>
      </c>
      <c r="M21" s="37">
        <v>2177</v>
      </c>
      <c r="N21" s="37">
        <f t="shared" si="0"/>
        <v>24073</v>
      </c>
      <c r="O21" s="36"/>
    </row>
    <row r="22" spans="1:15" x14ac:dyDescent="0.25">
      <c r="A22" s="33" t="s">
        <v>75</v>
      </c>
      <c r="B22" s="37">
        <v>3165</v>
      </c>
      <c r="C22" s="37">
        <v>3319</v>
      </c>
      <c r="D22" s="37">
        <v>3549</v>
      </c>
      <c r="E22" s="37">
        <v>3375</v>
      </c>
      <c r="F22" s="37">
        <v>771</v>
      </c>
      <c r="G22" s="37"/>
      <c r="H22" s="37"/>
      <c r="I22" s="37"/>
      <c r="J22" s="37">
        <v>1936</v>
      </c>
      <c r="K22" s="37">
        <v>2986</v>
      </c>
      <c r="L22" s="37">
        <v>2942</v>
      </c>
      <c r="M22" s="37">
        <v>2832</v>
      </c>
      <c r="N22" s="37">
        <f t="shared" si="0"/>
        <v>24875</v>
      </c>
      <c r="O22" s="36"/>
    </row>
    <row r="23" spans="1:15" x14ac:dyDescent="0.25">
      <c r="A23" s="33" t="s">
        <v>127</v>
      </c>
      <c r="B23" s="37"/>
      <c r="C23" s="37"/>
      <c r="D23" s="37"/>
      <c r="E23" s="37"/>
      <c r="F23" s="37">
        <v>1316</v>
      </c>
      <c r="G23" s="37">
        <v>2875</v>
      </c>
      <c r="H23" s="37">
        <v>3720</v>
      </c>
      <c r="I23" s="37">
        <v>4035</v>
      </c>
      <c r="J23" s="37">
        <v>895</v>
      </c>
      <c r="K23" s="37"/>
      <c r="L23" s="37"/>
      <c r="M23" s="37"/>
      <c r="N23" s="37">
        <f t="shared" si="0"/>
        <v>12841</v>
      </c>
      <c r="O23" s="36"/>
    </row>
    <row r="24" spans="1:15" x14ac:dyDescent="0.25">
      <c r="A24" s="33" t="s">
        <v>62</v>
      </c>
      <c r="B24" s="37">
        <v>1</v>
      </c>
      <c r="C24" s="37">
        <v>1</v>
      </c>
      <c r="D24" s="37">
        <v>1</v>
      </c>
      <c r="E24" s="37">
        <v>1</v>
      </c>
      <c r="F24" s="37">
        <v>1</v>
      </c>
      <c r="G24" s="37">
        <v>3</v>
      </c>
      <c r="H24" s="37">
        <v>7</v>
      </c>
      <c r="I24" s="37"/>
      <c r="J24" s="37">
        <v>1</v>
      </c>
      <c r="K24" s="37"/>
      <c r="L24" s="38"/>
      <c r="M24" s="38">
        <v>1</v>
      </c>
      <c r="N24" s="37">
        <f t="shared" si="0"/>
        <v>17</v>
      </c>
      <c r="O24" s="36"/>
    </row>
    <row r="25" spans="1:15" x14ac:dyDescent="0.25">
      <c r="A25" s="33" t="s">
        <v>112</v>
      </c>
      <c r="B25" s="37"/>
      <c r="C25" s="37"/>
      <c r="D25" s="37"/>
      <c r="E25" s="37"/>
      <c r="F25" s="37">
        <v>29</v>
      </c>
      <c r="G25" s="37">
        <v>81</v>
      </c>
      <c r="H25" s="37">
        <v>110</v>
      </c>
      <c r="I25" s="37">
        <v>101</v>
      </c>
      <c r="J25" s="37">
        <v>10</v>
      </c>
      <c r="K25" s="37"/>
      <c r="L25" s="38"/>
      <c r="M25" s="38"/>
      <c r="N25" s="37">
        <f t="shared" si="0"/>
        <v>331</v>
      </c>
      <c r="O25" s="36"/>
    </row>
    <row r="26" spans="1:15" x14ac:dyDescent="0.25">
      <c r="A26" s="33" t="s">
        <v>63</v>
      </c>
      <c r="B26" s="37">
        <v>20</v>
      </c>
      <c r="C26" s="37">
        <v>27</v>
      </c>
      <c r="D26" s="37">
        <v>19</v>
      </c>
      <c r="E26" s="37">
        <v>39</v>
      </c>
      <c r="F26" s="37">
        <v>43</v>
      </c>
      <c r="G26" s="37"/>
      <c r="H26" s="37"/>
      <c r="I26" s="37"/>
      <c r="J26" s="37">
        <v>86</v>
      </c>
      <c r="K26" s="37">
        <v>32</v>
      </c>
      <c r="L26" s="37">
        <v>31</v>
      </c>
      <c r="M26" s="37">
        <v>14</v>
      </c>
      <c r="N26" s="37">
        <f t="shared" si="0"/>
        <v>311</v>
      </c>
      <c r="O26" s="36"/>
    </row>
    <row r="27" spans="1:15" x14ac:dyDescent="0.25">
      <c r="A27" s="33" t="s">
        <v>11</v>
      </c>
      <c r="B27" s="37">
        <v>21</v>
      </c>
      <c r="C27" s="37">
        <v>16</v>
      </c>
      <c r="D27" s="37">
        <v>19</v>
      </c>
      <c r="E27" s="37">
        <v>18</v>
      </c>
      <c r="F27" s="37">
        <v>21</v>
      </c>
      <c r="G27" s="37">
        <v>13</v>
      </c>
      <c r="H27" s="37"/>
      <c r="I27" s="37"/>
      <c r="J27" s="37">
        <v>20</v>
      </c>
      <c r="K27" s="37">
        <v>22</v>
      </c>
      <c r="L27" s="37">
        <v>17</v>
      </c>
      <c r="M27" s="37">
        <v>12</v>
      </c>
      <c r="N27" s="37">
        <f t="shared" si="0"/>
        <v>179</v>
      </c>
      <c r="O27" s="36"/>
    </row>
    <row r="28" spans="1:15" x14ac:dyDescent="0.25">
      <c r="A28" s="33" t="s">
        <v>12</v>
      </c>
      <c r="B28" s="37">
        <v>7</v>
      </c>
      <c r="C28" s="37">
        <v>2</v>
      </c>
      <c r="D28" s="37">
        <v>3</v>
      </c>
      <c r="E28" s="37">
        <v>11</v>
      </c>
      <c r="F28" s="37">
        <v>25</v>
      </c>
      <c r="G28" s="37">
        <v>8</v>
      </c>
      <c r="H28" s="37">
        <v>10</v>
      </c>
      <c r="I28" s="37">
        <v>30</v>
      </c>
      <c r="J28" s="37">
        <v>20</v>
      </c>
      <c r="K28" s="37">
        <v>12</v>
      </c>
      <c r="L28" s="37">
        <v>2</v>
      </c>
      <c r="M28" s="37">
        <v>2</v>
      </c>
      <c r="N28" s="37">
        <f t="shared" si="0"/>
        <v>132</v>
      </c>
      <c r="O28" s="36"/>
    </row>
    <row r="29" spans="1:15" x14ac:dyDescent="0.25">
      <c r="A29" s="33" t="s">
        <v>90</v>
      </c>
      <c r="B29" s="37">
        <v>800</v>
      </c>
      <c r="C29" s="37">
        <v>947</v>
      </c>
      <c r="D29" s="37">
        <v>1022</v>
      </c>
      <c r="E29" s="37">
        <v>1101</v>
      </c>
      <c r="F29" s="37">
        <v>874</v>
      </c>
      <c r="G29" s="37"/>
      <c r="H29" s="37"/>
      <c r="I29" s="37"/>
      <c r="J29" s="37">
        <v>771</v>
      </c>
      <c r="K29" s="37">
        <v>1075</v>
      </c>
      <c r="L29" s="37">
        <v>1090</v>
      </c>
      <c r="M29" s="37">
        <v>801</v>
      </c>
      <c r="N29" s="37">
        <f t="shared" si="0"/>
        <v>8481</v>
      </c>
      <c r="O29" s="36"/>
    </row>
    <row r="30" spans="1:15" x14ac:dyDescent="0.25">
      <c r="A30" s="33" t="s">
        <v>113</v>
      </c>
      <c r="B30" s="37"/>
      <c r="C30" s="37"/>
      <c r="D30" s="37"/>
      <c r="E30" s="37"/>
      <c r="F30" s="37">
        <v>323</v>
      </c>
      <c r="G30" s="37">
        <v>564</v>
      </c>
      <c r="H30" s="37">
        <v>685</v>
      </c>
      <c r="I30" s="37">
        <v>648</v>
      </c>
      <c r="J30" s="37">
        <v>177</v>
      </c>
      <c r="K30" s="37"/>
      <c r="L30" s="37"/>
      <c r="M30" s="37"/>
      <c r="N30" s="37">
        <f t="shared" si="0"/>
        <v>2397</v>
      </c>
      <c r="O30" s="36"/>
    </row>
    <row r="31" spans="1:15" x14ac:dyDescent="0.25">
      <c r="A31" s="33" t="s">
        <v>76</v>
      </c>
      <c r="B31" s="37">
        <v>1577</v>
      </c>
      <c r="C31" s="37">
        <v>1536</v>
      </c>
      <c r="D31" s="37">
        <v>1747</v>
      </c>
      <c r="E31" s="37">
        <v>1785</v>
      </c>
      <c r="F31" s="37">
        <v>430</v>
      </c>
      <c r="G31" s="37"/>
      <c r="H31" s="37"/>
      <c r="I31" s="37"/>
      <c r="J31" s="37">
        <v>427</v>
      </c>
      <c r="K31" s="37">
        <v>608</v>
      </c>
      <c r="L31" s="37">
        <v>631</v>
      </c>
      <c r="M31" s="37">
        <v>637</v>
      </c>
      <c r="N31" s="37">
        <f t="shared" si="0"/>
        <v>9378</v>
      </c>
      <c r="O31" s="36"/>
    </row>
    <row r="32" spans="1:15" x14ac:dyDescent="0.25">
      <c r="A32" s="33" t="s">
        <v>105</v>
      </c>
      <c r="B32" s="37"/>
      <c r="C32" s="37">
        <v>2</v>
      </c>
      <c r="D32" s="37"/>
      <c r="E32" s="37">
        <v>1</v>
      </c>
      <c r="F32" s="37">
        <v>5</v>
      </c>
      <c r="G32" s="37"/>
      <c r="H32" s="37"/>
      <c r="I32" s="37"/>
      <c r="J32" s="37">
        <v>23</v>
      </c>
      <c r="K32" s="37">
        <v>17</v>
      </c>
      <c r="L32" s="37">
        <v>3</v>
      </c>
      <c r="M32" s="37">
        <v>1</v>
      </c>
      <c r="N32" s="37">
        <f t="shared" si="0"/>
        <v>52</v>
      </c>
      <c r="O32" s="36"/>
    </row>
    <row r="33" spans="1:15" x14ac:dyDescent="0.25">
      <c r="A33" s="33" t="s">
        <v>114</v>
      </c>
      <c r="B33" s="37"/>
      <c r="C33" s="37"/>
      <c r="D33" s="37"/>
      <c r="E33" s="37"/>
      <c r="F33" s="37">
        <v>753</v>
      </c>
      <c r="G33" s="37">
        <v>1788</v>
      </c>
      <c r="H33" s="37">
        <v>3059</v>
      </c>
      <c r="I33" s="37">
        <v>3010</v>
      </c>
      <c r="J33" s="37">
        <v>404</v>
      </c>
      <c r="K33" s="37"/>
      <c r="L33" s="37"/>
      <c r="M33" s="37"/>
      <c r="N33" s="37">
        <f t="shared" si="0"/>
        <v>9014</v>
      </c>
      <c r="O33" s="36"/>
    </row>
    <row r="34" spans="1:15" x14ac:dyDescent="0.25">
      <c r="A34" s="33" t="s">
        <v>117</v>
      </c>
      <c r="B34" s="37">
        <v>10</v>
      </c>
      <c r="C34" s="37">
        <v>14</v>
      </c>
      <c r="D34" s="37">
        <v>16</v>
      </c>
      <c r="E34" s="37">
        <v>16</v>
      </c>
      <c r="F34" s="37">
        <v>17</v>
      </c>
      <c r="G34" s="37"/>
      <c r="H34" s="37"/>
      <c r="I34" s="37"/>
      <c r="J34" s="37">
        <v>22</v>
      </c>
      <c r="K34" s="37">
        <v>21</v>
      </c>
      <c r="L34" s="37">
        <v>8</v>
      </c>
      <c r="M34" s="37">
        <v>3</v>
      </c>
      <c r="N34" s="37">
        <f t="shared" si="0"/>
        <v>127</v>
      </c>
      <c r="O34" s="36"/>
    </row>
    <row r="35" spans="1:15" x14ac:dyDescent="0.25">
      <c r="A35" s="33" t="s">
        <v>115</v>
      </c>
      <c r="B35" s="37"/>
      <c r="C35" s="37"/>
      <c r="D35" s="37"/>
      <c r="E35" s="37"/>
      <c r="F35" s="37">
        <v>7</v>
      </c>
      <c r="G35" s="37">
        <v>19</v>
      </c>
      <c r="H35" s="37">
        <v>11</v>
      </c>
      <c r="I35" s="37">
        <v>7</v>
      </c>
      <c r="J35" s="37">
        <v>4</v>
      </c>
      <c r="K35" s="37"/>
      <c r="L35" s="37"/>
      <c r="M35" s="37"/>
      <c r="N35" s="37">
        <f t="shared" si="0"/>
        <v>48</v>
      </c>
      <c r="O35" s="36"/>
    </row>
    <row r="36" spans="1:15" x14ac:dyDescent="0.25">
      <c r="A36" s="33" t="s">
        <v>15</v>
      </c>
      <c r="B36" s="37">
        <v>125</v>
      </c>
      <c r="C36" s="37">
        <v>100</v>
      </c>
      <c r="D36" s="37">
        <v>75</v>
      </c>
      <c r="E36" s="37">
        <v>150</v>
      </c>
      <c r="F36" s="37">
        <v>325</v>
      </c>
      <c r="G36" s="37">
        <v>525</v>
      </c>
      <c r="H36" s="37">
        <v>375</v>
      </c>
      <c r="I36" s="37">
        <v>400</v>
      </c>
      <c r="J36" s="37">
        <v>50</v>
      </c>
      <c r="K36" s="37">
        <v>100</v>
      </c>
      <c r="L36" s="37">
        <v>150</v>
      </c>
      <c r="M36" s="37">
        <v>125</v>
      </c>
      <c r="N36" s="37">
        <f t="shared" si="0"/>
        <v>2500</v>
      </c>
      <c r="O36" s="36"/>
    </row>
    <row r="37" spans="1:15" x14ac:dyDescent="0.25">
      <c r="A37" s="33" t="s">
        <v>91</v>
      </c>
      <c r="B37" s="37"/>
      <c r="C37" s="37"/>
      <c r="D37" s="37"/>
      <c r="E37" s="37"/>
      <c r="F37" s="37"/>
      <c r="G37" s="37"/>
      <c r="H37" s="37">
        <v>1</v>
      </c>
      <c r="I37" s="37"/>
      <c r="J37" s="37"/>
      <c r="K37" s="37"/>
      <c r="L37" s="37"/>
      <c r="M37" s="37"/>
      <c r="N37" s="37">
        <f t="shared" si="0"/>
        <v>1</v>
      </c>
      <c r="O37" s="36"/>
    </row>
    <row r="38" spans="1:15" x14ac:dyDescent="0.25">
      <c r="A38" s="33" t="s">
        <v>116</v>
      </c>
      <c r="B38" s="37"/>
      <c r="C38" s="37"/>
      <c r="D38" s="37"/>
      <c r="E38" s="37"/>
      <c r="F38" s="37">
        <v>8</v>
      </c>
      <c r="G38" s="37">
        <v>50</v>
      </c>
      <c r="H38" s="37">
        <v>112</v>
      </c>
      <c r="I38" s="37">
        <v>114</v>
      </c>
      <c r="J38" s="37">
        <v>20</v>
      </c>
      <c r="K38" s="37"/>
      <c r="L38" s="37"/>
      <c r="M38" s="37"/>
      <c r="N38" s="37">
        <f t="shared" si="0"/>
        <v>304</v>
      </c>
      <c r="O38" s="36"/>
    </row>
    <row r="39" spans="1:15" x14ac:dyDescent="0.25">
      <c r="A39" s="33" t="s">
        <v>118</v>
      </c>
      <c r="B39" s="37"/>
      <c r="C39" s="37"/>
      <c r="D39" s="37"/>
      <c r="E39" s="37"/>
      <c r="F39" s="37">
        <v>127</v>
      </c>
      <c r="G39" s="37">
        <v>251</v>
      </c>
      <c r="H39" s="37">
        <v>396</v>
      </c>
      <c r="I39" s="37">
        <v>356</v>
      </c>
      <c r="J39" s="37">
        <v>121</v>
      </c>
      <c r="K39" s="37"/>
      <c r="L39" s="37"/>
      <c r="M39" s="37"/>
      <c r="N39" s="37">
        <f t="shared" si="0"/>
        <v>1251</v>
      </c>
      <c r="O39" s="36"/>
    </row>
    <row r="40" spans="1:15" x14ac:dyDescent="0.25">
      <c r="A40" s="33" t="s">
        <v>119</v>
      </c>
      <c r="B40" s="37"/>
      <c r="C40" s="37"/>
      <c r="D40" s="37"/>
      <c r="E40" s="37"/>
      <c r="F40" s="37">
        <v>56</v>
      </c>
      <c r="G40" s="37">
        <v>192</v>
      </c>
      <c r="H40" s="37">
        <v>136</v>
      </c>
      <c r="I40" s="37">
        <v>130</v>
      </c>
      <c r="J40" s="37">
        <v>39</v>
      </c>
      <c r="K40" s="37"/>
      <c r="L40" s="37"/>
      <c r="M40" s="37"/>
      <c r="N40" s="37">
        <f t="shared" si="0"/>
        <v>553</v>
      </c>
      <c r="O40" s="36"/>
    </row>
    <row r="41" spans="1:15" x14ac:dyDescent="0.25">
      <c r="A41" s="33" t="s">
        <v>120</v>
      </c>
      <c r="B41" s="37"/>
      <c r="C41" s="37"/>
      <c r="D41" s="37"/>
      <c r="E41" s="37"/>
      <c r="F41" s="37">
        <v>21</v>
      </c>
      <c r="G41" s="37">
        <v>58</v>
      </c>
      <c r="H41" s="37">
        <v>83</v>
      </c>
      <c r="I41" s="37">
        <v>78</v>
      </c>
      <c r="J41" s="37">
        <v>15</v>
      </c>
      <c r="K41" s="37"/>
      <c r="L41" s="37"/>
      <c r="M41" s="37"/>
      <c r="N41" s="37">
        <f t="shared" si="0"/>
        <v>255</v>
      </c>
      <c r="O41" s="36"/>
    </row>
    <row r="42" spans="1:15" x14ac:dyDescent="0.25">
      <c r="A42" s="33" t="s">
        <v>121</v>
      </c>
      <c r="B42" s="37"/>
      <c r="C42" s="37"/>
      <c r="D42" s="37"/>
      <c r="E42" s="37"/>
      <c r="F42" s="37">
        <v>29</v>
      </c>
      <c r="G42" s="37">
        <v>75</v>
      </c>
      <c r="H42" s="37">
        <v>120</v>
      </c>
      <c r="I42" s="37">
        <v>109</v>
      </c>
      <c r="J42" s="37">
        <v>37</v>
      </c>
      <c r="K42" s="37"/>
      <c r="L42" s="37"/>
      <c r="M42" s="37"/>
      <c r="N42" s="37">
        <f t="shared" si="0"/>
        <v>370</v>
      </c>
      <c r="O42" s="36"/>
    </row>
    <row r="43" spans="1:15" x14ac:dyDescent="0.25">
      <c r="A43" s="33" t="s">
        <v>122</v>
      </c>
      <c r="B43" s="37"/>
      <c r="C43" s="37"/>
      <c r="D43" s="37"/>
      <c r="E43" s="37"/>
      <c r="F43" s="37">
        <v>13</v>
      </c>
      <c r="G43" s="37">
        <v>34</v>
      </c>
      <c r="H43" s="37">
        <v>43</v>
      </c>
      <c r="I43" s="37">
        <v>38</v>
      </c>
      <c r="J43" s="37">
        <v>7</v>
      </c>
      <c r="K43" s="37"/>
      <c r="L43" s="37"/>
      <c r="M43" s="37"/>
      <c r="N43" s="37">
        <f t="shared" si="0"/>
        <v>135</v>
      </c>
      <c r="O43" s="36"/>
    </row>
    <row r="44" spans="1:15" x14ac:dyDescent="0.25">
      <c r="A44" s="33" t="s">
        <v>123</v>
      </c>
      <c r="B44" s="37"/>
      <c r="C44" s="37"/>
      <c r="D44" s="37"/>
      <c r="E44" s="37"/>
      <c r="F44" s="37">
        <v>3</v>
      </c>
      <c r="G44" s="37">
        <v>13</v>
      </c>
      <c r="H44" s="37">
        <v>20</v>
      </c>
      <c r="I44" s="37">
        <v>17</v>
      </c>
      <c r="J44" s="37">
        <v>8</v>
      </c>
      <c r="K44" s="37"/>
      <c r="L44" s="37"/>
      <c r="M44" s="37"/>
      <c r="N44" s="37">
        <f t="shared" si="0"/>
        <v>61</v>
      </c>
      <c r="O44" s="36"/>
    </row>
    <row r="45" spans="1:15" x14ac:dyDescent="0.25">
      <c r="A45" s="33" t="s">
        <v>124</v>
      </c>
      <c r="B45" s="37"/>
      <c r="C45" s="37"/>
      <c r="D45" s="37"/>
      <c r="E45" s="37"/>
      <c r="F45" s="37">
        <v>4</v>
      </c>
      <c r="G45" s="37">
        <v>2</v>
      </c>
      <c r="H45" s="37">
        <v>9</v>
      </c>
      <c r="I45" s="37">
        <v>6</v>
      </c>
      <c r="J45" s="37">
        <v>2</v>
      </c>
      <c r="K45" s="37"/>
      <c r="L45" s="37"/>
      <c r="M45" s="37"/>
      <c r="N45" s="37">
        <f t="shared" si="0"/>
        <v>23</v>
      </c>
      <c r="O45" s="36"/>
    </row>
    <row r="46" spans="1:15" x14ac:dyDescent="0.25">
      <c r="A46" s="33" t="s">
        <v>125</v>
      </c>
      <c r="B46" s="37"/>
      <c r="C46" s="37"/>
      <c r="D46" s="37"/>
      <c r="E46" s="37"/>
      <c r="F46" s="37"/>
      <c r="G46" s="37">
        <v>1</v>
      </c>
      <c r="H46" s="37">
        <v>5</v>
      </c>
      <c r="I46" s="37">
        <v>3</v>
      </c>
      <c r="J46" s="37">
        <v>2</v>
      </c>
      <c r="K46" s="37"/>
      <c r="L46" s="37"/>
      <c r="M46" s="37"/>
      <c r="N46" s="37">
        <f t="shared" si="0"/>
        <v>11</v>
      </c>
      <c r="O46" s="36"/>
    </row>
    <row r="47" spans="1:15" x14ac:dyDescent="0.25">
      <c r="A47" s="33" t="s">
        <v>126</v>
      </c>
      <c r="B47" s="37"/>
      <c r="C47" s="37"/>
      <c r="D47" s="37"/>
      <c r="E47" s="37"/>
      <c r="F47" s="37">
        <v>19</v>
      </c>
      <c r="G47" s="37">
        <v>5</v>
      </c>
      <c r="H47" s="37">
        <v>7</v>
      </c>
      <c r="I47" s="37">
        <v>13</v>
      </c>
      <c r="J47" s="37">
        <v>1</v>
      </c>
      <c r="K47" s="37"/>
      <c r="L47" s="37"/>
      <c r="M47" s="37"/>
      <c r="N47" s="37">
        <f t="shared" si="0"/>
        <v>45</v>
      </c>
      <c r="O47" s="36"/>
    </row>
    <row r="48" spans="1:15" x14ac:dyDescent="0.25">
      <c r="A48" s="33" t="s">
        <v>65</v>
      </c>
      <c r="B48" s="37">
        <v>272</v>
      </c>
      <c r="C48" s="37">
        <v>254</v>
      </c>
      <c r="D48" s="37">
        <v>277</v>
      </c>
      <c r="E48" s="37">
        <v>234</v>
      </c>
      <c r="F48" s="37">
        <v>59</v>
      </c>
      <c r="G48" s="37"/>
      <c r="H48" s="37"/>
      <c r="I48" s="37"/>
      <c r="J48" s="37">
        <v>203</v>
      </c>
      <c r="K48" s="37">
        <v>300</v>
      </c>
      <c r="L48" s="37">
        <v>213</v>
      </c>
      <c r="M48" s="37">
        <v>254</v>
      </c>
      <c r="N48" s="37">
        <f t="shared" si="0"/>
        <v>2066</v>
      </c>
      <c r="O48" s="36"/>
    </row>
    <row r="49" spans="1:15" x14ac:dyDescent="0.25">
      <c r="A49" s="33" t="s">
        <v>66</v>
      </c>
      <c r="B49" s="37">
        <v>96</v>
      </c>
      <c r="C49" s="37">
        <v>71</v>
      </c>
      <c r="D49" s="37">
        <v>62</v>
      </c>
      <c r="E49" s="37">
        <v>119</v>
      </c>
      <c r="F49" s="37">
        <v>32</v>
      </c>
      <c r="G49" s="37"/>
      <c r="H49" s="37"/>
      <c r="I49" s="37"/>
      <c r="J49" s="37">
        <v>87</v>
      </c>
      <c r="K49" s="37">
        <v>160</v>
      </c>
      <c r="L49" s="37">
        <v>89</v>
      </c>
      <c r="M49" s="37">
        <v>90</v>
      </c>
      <c r="N49" s="37">
        <f t="shared" si="0"/>
        <v>806</v>
      </c>
      <c r="O49" s="36"/>
    </row>
    <row r="50" spans="1:15" x14ac:dyDescent="0.25">
      <c r="A50" s="33" t="s">
        <v>67</v>
      </c>
      <c r="B50" s="37">
        <v>29</v>
      </c>
      <c r="C50" s="37">
        <v>32</v>
      </c>
      <c r="D50" s="37">
        <v>29</v>
      </c>
      <c r="E50" s="37">
        <v>47</v>
      </c>
      <c r="F50" s="37">
        <v>12</v>
      </c>
      <c r="G50" s="37"/>
      <c r="H50" s="37"/>
      <c r="I50" s="37"/>
      <c r="J50" s="37">
        <v>33</v>
      </c>
      <c r="K50" s="37">
        <v>48</v>
      </c>
      <c r="L50" s="37">
        <v>48</v>
      </c>
      <c r="M50" s="37">
        <v>25</v>
      </c>
      <c r="N50" s="37">
        <f t="shared" si="0"/>
        <v>303</v>
      </c>
      <c r="O50" s="36"/>
    </row>
    <row r="51" spans="1:15" x14ac:dyDescent="0.25">
      <c r="A51" s="33" t="s">
        <v>68</v>
      </c>
      <c r="B51" s="37">
        <v>25</v>
      </c>
      <c r="C51" s="37">
        <v>37</v>
      </c>
      <c r="D51" s="37">
        <v>45</v>
      </c>
      <c r="E51" s="37">
        <v>53</v>
      </c>
      <c r="F51" s="37">
        <v>12</v>
      </c>
      <c r="G51" s="37"/>
      <c r="H51" s="37"/>
      <c r="I51" s="37"/>
      <c r="J51" s="37">
        <v>56</v>
      </c>
      <c r="K51" s="37">
        <v>58</v>
      </c>
      <c r="L51" s="37">
        <v>41</v>
      </c>
      <c r="M51" s="37">
        <v>33</v>
      </c>
      <c r="N51" s="37">
        <f t="shared" si="0"/>
        <v>360</v>
      </c>
      <c r="O51" s="36"/>
    </row>
    <row r="52" spans="1:15" x14ac:dyDescent="0.25">
      <c r="A52" s="33" t="s">
        <v>69</v>
      </c>
      <c r="B52" s="37">
        <v>10</v>
      </c>
      <c r="C52" s="37">
        <v>23</v>
      </c>
      <c r="D52" s="37">
        <v>18</v>
      </c>
      <c r="E52" s="37">
        <v>28</v>
      </c>
      <c r="F52" s="37">
        <v>8</v>
      </c>
      <c r="G52" s="37"/>
      <c r="H52" s="37"/>
      <c r="I52" s="37"/>
      <c r="J52" s="37">
        <v>17</v>
      </c>
      <c r="K52" s="37">
        <v>33</v>
      </c>
      <c r="L52" s="37">
        <v>23</v>
      </c>
      <c r="M52" s="37">
        <v>12</v>
      </c>
      <c r="N52" s="37">
        <f t="shared" si="0"/>
        <v>172</v>
      </c>
      <c r="O52" s="36"/>
    </row>
    <row r="53" spans="1:15" x14ac:dyDescent="0.25">
      <c r="A53" s="33" t="s">
        <v>70</v>
      </c>
      <c r="B53" s="37">
        <v>5</v>
      </c>
      <c r="C53" s="37">
        <v>7</v>
      </c>
      <c r="D53" s="37">
        <v>8</v>
      </c>
      <c r="E53" s="37">
        <v>10</v>
      </c>
      <c r="F53" s="37">
        <v>3</v>
      </c>
      <c r="G53" s="37"/>
      <c r="H53" s="37"/>
      <c r="I53" s="37"/>
      <c r="J53" s="37">
        <v>5</v>
      </c>
      <c r="K53" s="37">
        <v>9</v>
      </c>
      <c r="L53" s="37">
        <v>4</v>
      </c>
      <c r="M53" s="37">
        <v>2</v>
      </c>
      <c r="N53" s="37">
        <f t="shared" si="0"/>
        <v>53</v>
      </c>
      <c r="O53" s="36"/>
    </row>
    <row r="54" spans="1:15" x14ac:dyDescent="0.25">
      <c r="A54" s="33" t="s">
        <v>71</v>
      </c>
      <c r="B54" s="37">
        <v>3</v>
      </c>
      <c r="C54" s="37"/>
      <c r="D54" s="37">
        <v>6</v>
      </c>
      <c r="E54" s="37">
        <v>3</v>
      </c>
      <c r="F54" s="37">
        <v>3</v>
      </c>
      <c r="G54" s="37"/>
      <c r="H54" s="37"/>
      <c r="I54" s="37"/>
      <c r="J54" s="37">
        <v>5</v>
      </c>
      <c r="K54" s="37">
        <v>8</v>
      </c>
      <c r="L54" s="37">
        <v>2</v>
      </c>
      <c r="M54" s="37">
        <v>1</v>
      </c>
      <c r="N54" s="37">
        <f t="shared" si="0"/>
        <v>31</v>
      </c>
      <c r="O54" s="36"/>
    </row>
    <row r="55" spans="1:15" x14ac:dyDescent="0.25">
      <c r="A55" s="33" t="s">
        <v>72</v>
      </c>
      <c r="B55" s="37">
        <v>5</v>
      </c>
      <c r="C55" s="37">
        <v>2</v>
      </c>
      <c r="D55" s="37">
        <v>2</v>
      </c>
      <c r="E55" s="37">
        <v>5</v>
      </c>
      <c r="F55" s="37">
        <v>2</v>
      </c>
      <c r="G55" s="37"/>
      <c r="H55" s="37"/>
      <c r="I55" s="37"/>
      <c r="J55" s="37">
        <v>2</v>
      </c>
      <c r="K55" s="37">
        <v>2</v>
      </c>
      <c r="L55" s="37"/>
      <c r="M55" s="37">
        <v>4</v>
      </c>
      <c r="N55" s="37">
        <f t="shared" si="0"/>
        <v>24</v>
      </c>
      <c r="O55" s="36"/>
    </row>
    <row r="56" spans="1:15" x14ac:dyDescent="0.25">
      <c r="A56" s="33" t="s">
        <v>73</v>
      </c>
      <c r="B56" s="37">
        <v>6</v>
      </c>
      <c r="C56" s="37">
        <v>2</v>
      </c>
      <c r="D56" s="37">
        <v>4</v>
      </c>
      <c r="E56" s="37">
        <v>11</v>
      </c>
      <c r="F56" s="37">
        <v>2</v>
      </c>
      <c r="G56" s="37"/>
      <c r="H56" s="37"/>
      <c r="I56" s="37"/>
      <c r="J56" s="37">
        <v>9</v>
      </c>
      <c r="K56" s="37">
        <v>9</v>
      </c>
      <c r="L56" s="37">
        <v>4</v>
      </c>
      <c r="M56" s="37">
        <v>3</v>
      </c>
      <c r="N56" s="37">
        <f t="shared" si="0"/>
        <v>50</v>
      </c>
      <c r="O56" s="36"/>
    </row>
    <row r="57" spans="1:15" x14ac:dyDescent="0.25">
      <c r="A57" s="33" t="s">
        <v>26</v>
      </c>
      <c r="B57" s="37">
        <v>742</v>
      </c>
      <c r="C57" s="37">
        <v>716</v>
      </c>
      <c r="D57" s="37">
        <v>755</v>
      </c>
      <c r="E57" s="37">
        <v>739</v>
      </c>
      <c r="F57" s="37">
        <v>775</v>
      </c>
      <c r="G57" s="37">
        <v>755</v>
      </c>
      <c r="H57" s="37">
        <v>803</v>
      </c>
      <c r="I57" s="37">
        <v>798</v>
      </c>
      <c r="J57" s="37">
        <v>756</v>
      </c>
      <c r="K57" s="37">
        <v>775</v>
      </c>
      <c r="L57" s="38">
        <v>734</v>
      </c>
      <c r="M57" s="38">
        <v>748</v>
      </c>
      <c r="N57" s="37">
        <f t="shared" si="0"/>
        <v>9096</v>
      </c>
      <c r="O57" s="36"/>
    </row>
    <row r="58" spans="1:15" x14ac:dyDescent="0.25">
      <c r="A58" s="33" t="s">
        <v>77</v>
      </c>
      <c r="B58" s="37">
        <v>21</v>
      </c>
      <c r="C58" s="37">
        <v>16</v>
      </c>
      <c r="D58" s="37">
        <v>19</v>
      </c>
      <c r="E58" s="37">
        <v>18</v>
      </c>
      <c r="F58" s="37">
        <v>21</v>
      </c>
      <c r="G58" s="37">
        <v>13</v>
      </c>
      <c r="H58" s="37"/>
      <c r="I58" s="37"/>
      <c r="J58" s="37">
        <v>20</v>
      </c>
      <c r="K58" s="37">
        <v>22</v>
      </c>
      <c r="L58" s="38">
        <v>17</v>
      </c>
      <c r="M58" s="38">
        <v>12</v>
      </c>
      <c r="N58" s="37">
        <f t="shared" si="0"/>
        <v>179</v>
      </c>
      <c r="O58" s="36"/>
    </row>
    <row r="59" spans="1:15" x14ac:dyDescent="0.25">
      <c r="A59" s="33" t="s">
        <v>85</v>
      </c>
      <c r="B59" s="37">
        <v>50</v>
      </c>
      <c r="C59" s="37">
        <v>8</v>
      </c>
      <c r="D59" s="37">
        <v>6</v>
      </c>
      <c r="E59" s="37">
        <v>28</v>
      </c>
      <c r="F59" s="37">
        <v>21</v>
      </c>
      <c r="G59" s="37">
        <v>10</v>
      </c>
      <c r="H59" s="37">
        <v>7</v>
      </c>
      <c r="I59" s="37">
        <v>10</v>
      </c>
      <c r="J59" s="37">
        <v>12</v>
      </c>
      <c r="K59" s="37">
        <v>8</v>
      </c>
      <c r="L59" s="38">
        <v>16</v>
      </c>
      <c r="M59" s="38">
        <v>6</v>
      </c>
      <c r="N59" s="37">
        <f t="shared" si="0"/>
        <v>182</v>
      </c>
      <c r="O59" s="36"/>
    </row>
    <row r="60" spans="1:15" x14ac:dyDescent="0.25">
      <c r="A60" s="39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6"/>
    </row>
    <row r="61" spans="1:15" x14ac:dyDescent="0.25">
      <c r="A61" s="39" t="s">
        <v>86</v>
      </c>
      <c r="B61" s="40">
        <f>+B4+B5+B7+B8+B10+B12+B13+B15+B6+B9</f>
        <v>2370</v>
      </c>
      <c r="C61" s="40">
        <f t="shared" ref="C61:M61" si="1">+C4+C5+C7+C8+C10+C12+C13+C15+C6+C9</f>
        <v>1510</v>
      </c>
      <c r="D61" s="40">
        <f t="shared" si="1"/>
        <v>1790</v>
      </c>
      <c r="E61" s="40">
        <f t="shared" si="1"/>
        <v>1800</v>
      </c>
      <c r="F61" s="40">
        <f t="shared" si="1"/>
        <v>4700</v>
      </c>
      <c r="G61" s="40">
        <f t="shared" si="1"/>
        <v>3610</v>
      </c>
      <c r="H61" s="40">
        <f t="shared" si="1"/>
        <v>4450</v>
      </c>
      <c r="I61" s="40">
        <f t="shared" si="1"/>
        <v>3580</v>
      </c>
      <c r="J61" s="40">
        <f t="shared" si="1"/>
        <v>3640</v>
      </c>
      <c r="K61" s="40">
        <f t="shared" si="1"/>
        <v>2520</v>
      </c>
      <c r="L61" s="40">
        <f t="shared" si="1"/>
        <v>1570</v>
      </c>
      <c r="M61" s="40">
        <f t="shared" si="1"/>
        <v>770</v>
      </c>
      <c r="N61" s="40">
        <f t="shared" ref="N61:N66" si="2">SUM(B61:M61)</f>
        <v>32310</v>
      </c>
      <c r="O61" s="36"/>
    </row>
    <row r="62" spans="1:15" x14ac:dyDescent="0.25">
      <c r="A62" s="39" t="s">
        <v>87</v>
      </c>
      <c r="B62" s="40">
        <f>+B36+B11+B14+B59+B19</f>
        <v>2210</v>
      </c>
      <c r="C62" s="40">
        <f t="shared" ref="C62:M62" si="3">+C36+C11+C14+C59+C19</f>
        <v>1703</v>
      </c>
      <c r="D62" s="40">
        <f t="shared" si="3"/>
        <v>1386</v>
      </c>
      <c r="E62" s="40">
        <f t="shared" si="3"/>
        <v>1988</v>
      </c>
      <c r="F62" s="40">
        <f t="shared" si="3"/>
        <v>4061</v>
      </c>
      <c r="G62" s="40">
        <f t="shared" si="3"/>
        <v>3235</v>
      </c>
      <c r="H62" s="40">
        <f t="shared" si="3"/>
        <v>3092</v>
      </c>
      <c r="I62" s="40">
        <f t="shared" si="3"/>
        <v>3045</v>
      </c>
      <c r="J62" s="40">
        <f t="shared" si="3"/>
        <v>2102</v>
      </c>
      <c r="K62" s="40">
        <f t="shared" si="3"/>
        <v>1693</v>
      </c>
      <c r="L62" s="40">
        <f t="shared" si="3"/>
        <v>1641</v>
      </c>
      <c r="M62" s="40">
        <f t="shared" si="3"/>
        <v>1381</v>
      </c>
      <c r="N62" s="40">
        <f t="shared" si="2"/>
        <v>27537</v>
      </c>
      <c r="O62" s="36"/>
    </row>
    <row r="63" spans="1:15" x14ac:dyDescent="0.25">
      <c r="A63" s="33" t="s">
        <v>50</v>
      </c>
      <c r="B63" s="40">
        <f>B4+B5+B6+B7+B8+B9+B22+B25+B26+B30+B31+B32+B35+B39+B40+B41+B42+B43+B44+B45+B46+B47+B48+B49+B50+B51+B52+B53+B54+B55+B56+B10+B12+B13+B15+B23</f>
        <v>7583</v>
      </c>
      <c r="C63" s="40">
        <f t="shared" ref="C63:M63" si="4">C4+C5+C6+C7+C8+C9+C22+C25+C26+C30+C31+C32+C35+C39+C40+C41+C42+C43+C44+C45+C46+C47+C48+C49+C50+C51+C52+C53+C54+C55+C56+C10+C12+C13+C15+C23</f>
        <v>6822</v>
      </c>
      <c r="D63" s="40">
        <f t="shared" si="4"/>
        <v>7556</v>
      </c>
      <c r="E63" s="40">
        <f t="shared" si="4"/>
        <v>7510</v>
      </c>
      <c r="F63" s="40">
        <f t="shared" si="4"/>
        <v>8029</v>
      </c>
      <c r="G63" s="40">
        <f t="shared" si="4"/>
        <v>7780</v>
      </c>
      <c r="H63" s="40">
        <f t="shared" si="4"/>
        <v>9795</v>
      </c>
      <c r="I63" s="40">
        <f t="shared" si="4"/>
        <v>9121</v>
      </c>
      <c r="J63" s="40">
        <f t="shared" si="4"/>
        <v>7847</v>
      </c>
      <c r="K63" s="40">
        <f t="shared" si="4"/>
        <v>6790</v>
      </c>
      <c r="L63" s="40">
        <f t="shared" si="4"/>
        <v>5601</v>
      </c>
      <c r="M63" s="40">
        <f t="shared" si="4"/>
        <v>4678</v>
      </c>
      <c r="N63" s="40">
        <f t="shared" si="2"/>
        <v>89112</v>
      </c>
      <c r="O63" s="36"/>
    </row>
    <row r="64" spans="1:15" x14ac:dyDescent="0.25">
      <c r="A64" s="33" t="s">
        <v>28</v>
      </c>
      <c r="B64" s="40">
        <f>SUM(B4:B59)-B27-B28-B58-B57-B37</f>
        <v>13264</v>
      </c>
      <c r="C64" s="40">
        <f t="shared" ref="C64:M64" si="5">SUM(C4:C59)-C27-C28-C58-C57-C37</f>
        <v>12418</v>
      </c>
      <c r="D64" s="40">
        <f t="shared" si="5"/>
        <v>13137</v>
      </c>
      <c r="E64" s="40">
        <f t="shared" si="5"/>
        <v>13708</v>
      </c>
      <c r="F64" s="40">
        <f t="shared" si="5"/>
        <v>18501</v>
      </c>
      <c r="G64" s="40">
        <f t="shared" si="5"/>
        <v>16710</v>
      </c>
      <c r="H64" s="40">
        <f t="shared" si="5"/>
        <v>21669</v>
      </c>
      <c r="I64" s="40">
        <f t="shared" si="5"/>
        <v>21017</v>
      </c>
      <c r="J64" s="40">
        <f t="shared" si="5"/>
        <v>14561</v>
      </c>
      <c r="K64" s="40">
        <f t="shared" si="5"/>
        <v>12330</v>
      </c>
      <c r="L64" s="40">
        <f t="shared" si="5"/>
        <v>11016</v>
      </c>
      <c r="M64" s="40">
        <f t="shared" si="5"/>
        <v>9083</v>
      </c>
      <c r="N64" s="40">
        <f t="shared" si="2"/>
        <v>177414</v>
      </c>
      <c r="O64" s="36"/>
    </row>
    <row r="65" spans="1:15" x14ac:dyDescent="0.25">
      <c r="A65" s="33" t="s">
        <v>46</v>
      </c>
      <c r="B65" s="40">
        <f t="shared" ref="B65:M65" si="6">SUM(B4:B59)-B28-B57-B58</f>
        <v>13285</v>
      </c>
      <c r="C65" s="40">
        <f t="shared" si="6"/>
        <v>12434</v>
      </c>
      <c r="D65" s="40">
        <f t="shared" si="6"/>
        <v>13156</v>
      </c>
      <c r="E65" s="40">
        <f t="shared" si="6"/>
        <v>13726</v>
      </c>
      <c r="F65" s="40">
        <f t="shared" si="6"/>
        <v>18522</v>
      </c>
      <c r="G65" s="40">
        <f t="shared" si="6"/>
        <v>16723</v>
      </c>
      <c r="H65" s="40">
        <f t="shared" si="6"/>
        <v>21670</v>
      </c>
      <c r="I65" s="40">
        <f t="shared" si="6"/>
        <v>21017</v>
      </c>
      <c r="J65" s="40">
        <f t="shared" si="6"/>
        <v>14581</v>
      </c>
      <c r="K65" s="40">
        <f>SUM(K4:K56)-K28</f>
        <v>12344</v>
      </c>
      <c r="L65" s="40">
        <f t="shared" si="6"/>
        <v>11033</v>
      </c>
      <c r="M65" s="40">
        <f t="shared" si="6"/>
        <v>9095</v>
      </c>
      <c r="N65" s="40">
        <f t="shared" si="2"/>
        <v>177586</v>
      </c>
      <c r="O65" s="36"/>
    </row>
    <row r="66" spans="1:15" x14ac:dyDescent="0.25">
      <c r="A66" s="33" t="s">
        <v>52</v>
      </c>
      <c r="B66" s="40">
        <f t="shared" ref="B66:L66" si="7">+B19+B20+B21+B29+B33+B36+B11+B14+B34+B38+B59+B17+B18</f>
        <v>5680</v>
      </c>
      <c r="C66" s="40">
        <f t="shared" si="7"/>
        <v>5595</v>
      </c>
      <c r="D66" s="40">
        <f t="shared" si="7"/>
        <v>5580</v>
      </c>
      <c r="E66" s="40">
        <f t="shared" si="7"/>
        <v>6197</v>
      </c>
      <c r="F66" s="40">
        <f t="shared" si="7"/>
        <v>10471</v>
      </c>
      <c r="G66" s="40">
        <f t="shared" si="7"/>
        <v>8807</v>
      </c>
      <c r="H66" s="40">
        <f t="shared" si="7"/>
        <v>11867</v>
      </c>
      <c r="I66" s="40">
        <f t="shared" si="7"/>
        <v>11896</v>
      </c>
      <c r="J66" s="40">
        <f t="shared" si="7"/>
        <v>6713</v>
      </c>
      <c r="K66" s="40">
        <f t="shared" si="7"/>
        <v>5540</v>
      </c>
      <c r="L66" s="40">
        <f t="shared" si="7"/>
        <v>5415</v>
      </c>
      <c r="M66" s="40">
        <f>+M19+M20+M21+M29+M33+M36+M11+M14+M34+M38+M59+M17+M18</f>
        <v>4404</v>
      </c>
      <c r="N66" s="40">
        <f t="shared" si="2"/>
        <v>88165</v>
      </c>
      <c r="O66" s="36"/>
    </row>
    <row r="67" spans="1:15" x14ac:dyDescent="0.25">
      <c r="A67" s="36"/>
      <c r="B67" s="18">
        <f t="shared" ref="B67:N67" si="8">SUM(B4:B59)</f>
        <v>14055</v>
      </c>
      <c r="C67" s="18">
        <f t="shared" si="8"/>
        <v>13168</v>
      </c>
      <c r="D67" s="18">
        <f t="shared" si="8"/>
        <v>13933</v>
      </c>
      <c r="E67" s="18">
        <f t="shared" si="8"/>
        <v>14494</v>
      </c>
      <c r="F67" s="18">
        <f t="shared" si="8"/>
        <v>19343</v>
      </c>
      <c r="G67" s="18">
        <f t="shared" si="8"/>
        <v>17499</v>
      </c>
      <c r="H67" s="18">
        <f t="shared" si="8"/>
        <v>22483</v>
      </c>
      <c r="I67" s="18">
        <f t="shared" si="8"/>
        <v>21845</v>
      </c>
      <c r="J67" s="18">
        <f t="shared" si="8"/>
        <v>15377</v>
      </c>
      <c r="K67" s="18">
        <f t="shared" si="8"/>
        <v>13161</v>
      </c>
      <c r="L67" s="18">
        <f t="shared" si="8"/>
        <v>11786</v>
      </c>
      <c r="M67" s="18">
        <f t="shared" si="8"/>
        <v>9857</v>
      </c>
      <c r="N67" s="18">
        <f t="shared" si="8"/>
        <v>187001</v>
      </c>
    </row>
    <row r="68" spans="1:15" x14ac:dyDescent="0.25">
      <c r="A68" s="41"/>
    </row>
    <row r="72" spans="1:15" x14ac:dyDescent="0.25">
      <c r="A72" s="39" t="s">
        <v>179</v>
      </c>
      <c r="B72" s="40">
        <f>+B4+B7+B10+B12+B13+B15+B16+B8+B5+B6+B9</f>
        <v>2370</v>
      </c>
      <c r="C72" s="40">
        <f t="shared" ref="C72:M72" si="9">+C4+C7+C10+C12+C13+C15+C16+C8+C5+C6+C9</f>
        <v>1510</v>
      </c>
      <c r="D72" s="40">
        <f t="shared" si="9"/>
        <v>1790</v>
      </c>
      <c r="E72" s="40">
        <f t="shared" si="9"/>
        <v>1800</v>
      </c>
      <c r="F72" s="40">
        <f t="shared" si="9"/>
        <v>4700</v>
      </c>
      <c r="G72" s="40">
        <f t="shared" si="9"/>
        <v>3730</v>
      </c>
      <c r="H72" s="40">
        <f t="shared" si="9"/>
        <v>4450</v>
      </c>
      <c r="I72" s="40">
        <f t="shared" si="9"/>
        <v>3580</v>
      </c>
      <c r="J72" s="40">
        <f t="shared" si="9"/>
        <v>3640</v>
      </c>
      <c r="K72" s="40">
        <f t="shared" si="9"/>
        <v>2520</v>
      </c>
      <c r="L72" s="40">
        <f t="shared" si="9"/>
        <v>1570</v>
      </c>
      <c r="M72" s="40">
        <f t="shared" si="9"/>
        <v>770</v>
      </c>
      <c r="N72" s="40">
        <f>SUM(B72:M72)</f>
        <v>32430</v>
      </c>
    </row>
    <row r="73" spans="1:15" x14ac:dyDescent="0.25">
      <c r="A73" s="39" t="s">
        <v>177</v>
      </c>
      <c r="B73" s="40">
        <f>+B22+B23+B30+B31</f>
        <v>4742</v>
      </c>
      <c r="C73" s="40">
        <f t="shared" ref="C73:M73" si="10">+C22+C23+C30+C31</f>
        <v>4855</v>
      </c>
      <c r="D73" s="40">
        <f t="shared" si="10"/>
        <v>5296</v>
      </c>
      <c r="E73" s="40">
        <f t="shared" si="10"/>
        <v>5160</v>
      </c>
      <c r="F73" s="40">
        <f t="shared" si="10"/>
        <v>2840</v>
      </c>
      <c r="G73" s="40">
        <f t="shared" si="10"/>
        <v>3439</v>
      </c>
      <c r="H73" s="40">
        <f t="shared" si="10"/>
        <v>4405</v>
      </c>
      <c r="I73" s="40">
        <f t="shared" si="10"/>
        <v>4683</v>
      </c>
      <c r="J73" s="40">
        <f t="shared" si="10"/>
        <v>3435</v>
      </c>
      <c r="K73" s="40">
        <f t="shared" si="10"/>
        <v>3594</v>
      </c>
      <c r="L73" s="40">
        <f t="shared" si="10"/>
        <v>3573</v>
      </c>
      <c r="M73" s="40">
        <f t="shared" si="10"/>
        <v>3469</v>
      </c>
      <c r="N73" s="40">
        <f t="shared" ref="N73:N78" si="11">SUM(B73:M73)</f>
        <v>49491</v>
      </c>
    </row>
    <row r="74" spans="1:15" x14ac:dyDescent="0.25">
      <c r="A74" s="33" t="s">
        <v>178</v>
      </c>
      <c r="B74" s="40">
        <f>+B25+B26+B32+B35</f>
        <v>20</v>
      </c>
      <c r="C74" s="40">
        <f t="shared" ref="C74:M74" si="12">+C25+C26+C32+C35</f>
        <v>29</v>
      </c>
      <c r="D74" s="40">
        <f t="shared" si="12"/>
        <v>19</v>
      </c>
      <c r="E74" s="40">
        <f t="shared" si="12"/>
        <v>40</v>
      </c>
      <c r="F74" s="40">
        <f t="shared" si="12"/>
        <v>84</v>
      </c>
      <c r="G74" s="40">
        <f t="shared" si="12"/>
        <v>100</v>
      </c>
      <c r="H74" s="40">
        <f t="shared" si="12"/>
        <v>121</v>
      </c>
      <c r="I74" s="40">
        <f t="shared" si="12"/>
        <v>108</v>
      </c>
      <c r="J74" s="40">
        <f t="shared" si="12"/>
        <v>123</v>
      </c>
      <c r="K74" s="40">
        <f t="shared" si="12"/>
        <v>49</v>
      </c>
      <c r="L74" s="40">
        <f t="shared" si="12"/>
        <v>34</v>
      </c>
      <c r="M74" s="40">
        <f t="shared" si="12"/>
        <v>15</v>
      </c>
      <c r="N74" s="40">
        <f t="shared" si="11"/>
        <v>742</v>
      </c>
    </row>
    <row r="75" spans="1:15" x14ac:dyDescent="0.25">
      <c r="A75" s="33" t="s">
        <v>180</v>
      </c>
      <c r="B75" s="40">
        <f>+B39+B40+B41+B42+B43+B44+B45+B46+B47+B48+B49+B50+B51+B52+B53+B54+B55+B56</f>
        <v>451</v>
      </c>
      <c r="C75" s="40">
        <f t="shared" ref="C75:M75" si="13">+C39+C40+C41+C42+C43+C44+C45+C46+C47+C48+C49+C50+C51+C52+C53+C54+C55+C56</f>
        <v>428</v>
      </c>
      <c r="D75" s="40">
        <f t="shared" si="13"/>
        <v>451</v>
      </c>
      <c r="E75" s="40">
        <f t="shared" si="13"/>
        <v>510</v>
      </c>
      <c r="F75" s="40">
        <f t="shared" si="13"/>
        <v>405</v>
      </c>
      <c r="G75" s="40">
        <f t="shared" si="13"/>
        <v>631</v>
      </c>
      <c r="H75" s="40">
        <f t="shared" si="13"/>
        <v>819</v>
      </c>
      <c r="I75" s="40">
        <f t="shared" si="13"/>
        <v>750</v>
      </c>
      <c r="J75" s="40">
        <f t="shared" si="13"/>
        <v>649</v>
      </c>
      <c r="K75" s="40">
        <f t="shared" si="13"/>
        <v>627</v>
      </c>
      <c r="L75" s="40">
        <f t="shared" si="13"/>
        <v>424</v>
      </c>
      <c r="M75" s="40">
        <f t="shared" si="13"/>
        <v>424</v>
      </c>
      <c r="N75" s="40">
        <f t="shared" si="11"/>
        <v>6569</v>
      </c>
    </row>
    <row r="76" spans="1:15" x14ac:dyDescent="0.25">
      <c r="A76" s="33" t="s">
        <v>157</v>
      </c>
      <c r="B76" s="40">
        <f>+B11+B14+B19+B36</f>
        <v>2160</v>
      </c>
      <c r="C76" s="40">
        <f t="shared" ref="C76:M76" si="14">+C11+C14+C19+C36</f>
        <v>1695</v>
      </c>
      <c r="D76" s="40">
        <f t="shared" si="14"/>
        <v>1380</v>
      </c>
      <c r="E76" s="40">
        <f t="shared" si="14"/>
        <v>1960</v>
      </c>
      <c r="F76" s="40">
        <f t="shared" si="14"/>
        <v>4040</v>
      </c>
      <c r="G76" s="40">
        <f t="shared" si="14"/>
        <v>3225</v>
      </c>
      <c r="H76" s="40">
        <f t="shared" si="14"/>
        <v>3085</v>
      </c>
      <c r="I76" s="40">
        <f t="shared" si="14"/>
        <v>3035</v>
      </c>
      <c r="J76" s="40">
        <f t="shared" si="14"/>
        <v>2090</v>
      </c>
      <c r="K76" s="40">
        <f t="shared" si="14"/>
        <v>1685</v>
      </c>
      <c r="L76" s="40">
        <f t="shared" si="14"/>
        <v>1625</v>
      </c>
      <c r="M76" s="40">
        <f t="shared" si="14"/>
        <v>1375</v>
      </c>
      <c r="N76" s="40">
        <f t="shared" si="11"/>
        <v>27355</v>
      </c>
    </row>
    <row r="77" spans="1:15" x14ac:dyDescent="0.25">
      <c r="A77" s="33" t="s">
        <v>181</v>
      </c>
      <c r="B77" s="40">
        <f>+B20+B21+B29+B33</f>
        <v>3436</v>
      </c>
      <c r="C77" s="40">
        <f t="shared" ref="C77:M77" si="15">+C20+C21+C29+C33</f>
        <v>3803</v>
      </c>
      <c r="D77" s="40">
        <f t="shared" si="15"/>
        <v>4126</v>
      </c>
      <c r="E77" s="40">
        <f t="shared" si="15"/>
        <v>4118</v>
      </c>
      <c r="F77" s="40">
        <f t="shared" si="15"/>
        <v>6215</v>
      </c>
      <c r="G77" s="40">
        <f t="shared" si="15"/>
        <v>5343</v>
      </c>
      <c r="H77" s="40">
        <f t="shared" si="15"/>
        <v>8289</v>
      </c>
      <c r="I77" s="40">
        <f t="shared" si="15"/>
        <v>8385</v>
      </c>
      <c r="J77" s="40">
        <f t="shared" si="15"/>
        <v>4354</v>
      </c>
      <c r="K77" s="40">
        <f t="shared" si="15"/>
        <v>3737</v>
      </c>
      <c r="L77" s="40">
        <f t="shared" si="15"/>
        <v>3700</v>
      </c>
      <c r="M77" s="40">
        <f t="shared" si="15"/>
        <v>2978</v>
      </c>
      <c r="N77" s="40">
        <f t="shared" si="11"/>
        <v>58484</v>
      </c>
    </row>
    <row r="78" spans="1:15" x14ac:dyDescent="0.25">
      <c r="A78" s="33" t="s">
        <v>182</v>
      </c>
      <c r="B78" s="40">
        <f>+B17+B18+B34+B38</f>
        <v>34</v>
      </c>
      <c r="C78" s="40">
        <f t="shared" ref="C78:M78" si="16">+C17+C18+C34+C38</f>
        <v>89</v>
      </c>
      <c r="D78" s="40">
        <f t="shared" si="16"/>
        <v>68</v>
      </c>
      <c r="E78" s="40">
        <f t="shared" si="16"/>
        <v>91</v>
      </c>
      <c r="F78" s="40">
        <f t="shared" si="16"/>
        <v>195</v>
      </c>
      <c r="G78" s="40">
        <f t="shared" si="16"/>
        <v>229</v>
      </c>
      <c r="H78" s="40">
        <f t="shared" si="16"/>
        <v>486</v>
      </c>
      <c r="I78" s="40">
        <f t="shared" si="16"/>
        <v>466</v>
      </c>
      <c r="J78" s="40">
        <f t="shared" si="16"/>
        <v>257</v>
      </c>
      <c r="K78" s="40">
        <f t="shared" si="16"/>
        <v>110</v>
      </c>
      <c r="L78" s="40">
        <f t="shared" si="16"/>
        <v>74</v>
      </c>
      <c r="M78" s="40">
        <f t="shared" si="16"/>
        <v>45</v>
      </c>
      <c r="N78" s="40">
        <f t="shared" si="11"/>
        <v>2144</v>
      </c>
    </row>
  </sheetData>
  <phoneticPr fontId="12" type="noConversion"/>
  <pageMargins left="0.25" right="0.25" top="0.25" bottom="0.25" header="0" footer="0"/>
  <pageSetup scale="58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Q66"/>
  <sheetViews>
    <sheetView workbookViewId="0">
      <pane xSplit="1" ySplit="3" topLeftCell="G41" activePane="bottomRight" state="frozen"/>
      <selection pane="topRight" activeCell="B1" sqref="B1"/>
      <selection pane="bottomLeft" activeCell="A4" sqref="A4"/>
      <selection pane="bottomRight" activeCell="N51" sqref="N51"/>
    </sheetView>
  </sheetViews>
  <sheetFormatPr defaultColWidth="9.75" defaultRowHeight="16.2" x14ac:dyDescent="0.25"/>
  <cols>
    <col min="1" max="1" width="31.4140625" style="32" customWidth="1"/>
    <col min="2" max="2" width="6.75" style="32" customWidth="1"/>
    <col min="3" max="3" width="7" style="32" bestFit="1" customWidth="1"/>
    <col min="4" max="13" width="6.75" style="32" customWidth="1"/>
    <col min="14" max="16384" width="9.75" style="32"/>
  </cols>
  <sheetData>
    <row r="1" spans="1:16" ht="18.600000000000001" x14ac:dyDescent="0.25">
      <c r="A1" s="31" t="s">
        <v>104</v>
      </c>
    </row>
    <row r="3" spans="1:16" ht="16.8" x14ac:dyDescent="0.25">
      <c r="A3" s="33" t="s">
        <v>1</v>
      </c>
      <c r="B3" s="34" t="s">
        <v>29</v>
      </c>
      <c r="C3" s="34" t="s">
        <v>30</v>
      </c>
      <c r="D3" s="34" t="s">
        <v>31</v>
      </c>
      <c r="E3" s="34" t="s">
        <v>32</v>
      </c>
      <c r="F3" s="34" t="s">
        <v>33</v>
      </c>
      <c r="G3" s="34" t="s">
        <v>34</v>
      </c>
      <c r="H3" s="34" t="s">
        <v>35</v>
      </c>
      <c r="I3" s="34" t="s">
        <v>36</v>
      </c>
      <c r="J3" s="34" t="s">
        <v>37</v>
      </c>
      <c r="K3" s="34" t="s">
        <v>38</v>
      </c>
      <c r="L3" s="34" t="s">
        <v>39</v>
      </c>
      <c r="M3" s="34" t="s">
        <v>40</v>
      </c>
      <c r="N3" s="35" t="s">
        <v>41</v>
      </c>
      <c r="O3" s="36"/>
    </row>
    <row r="4" spans="1:16" x14ac:dyDescent="0.25">
      <c r="A4" s="33" t="s">
        <v>56</v>
      </c>
      <c r="B4" s="37">
        <v>170</v>
      </c>
      <c r="C4" s="37">
        <v>160</v>
      </c>
      <c r="D4" s="37">
        <v>230</v>
      </c>
      <c r="E4" s="37">
        <v>290</v>
      </c>
      <c r="F4" s="37">
        <v>150</v>
      </c>
      <c r="G4" s="37">
        <v>260</v>
      </c>
      <c r="H4" s="37">
        <v>250</v>
      </c>
      <c r="I4" s="37">
        <v>190</v>
      </c>
      <c r="J4" s="37">
        <v>290</v>
      </c>
      <c r="K4" s="37">
        <v>250</v>
      </c>
      <c r="L4" s="37">
        <v>230</v>
      </c>
      <c r="M4" s="37">
        <v>220</v>
      </c>
      <c r="N4" s="37">
        <f t="shared" ref="N4:N10" si="0">SUM(B4:M4)</f>
        <v>2690</v>
      </c>
      <c r="O4" s="36"/>
    </row>
    <row r="5" spans="1:16" x14ac:dyDescent="0.25">
      <c r="A5" s="33" t="s">
        <v>58</v>
      </c>
      <c r="B5" s="37"/>
      <c r="C5" s="37"/>
      <c r="D5" s="37">
        <v>10</v>
      </c>
      <c r="E5" s="37"/>
      <c r="F5" s="37"/>
      <c r="G5" s="37"/>
      <c r="H5" s="37"/>
      <c r="I5" s="37"/>
      <c r="J5" s="37"/>
      <c r="K5" s="37"/>
      <c r="L5" s="37"/>
      <c r="M5" s="37"/>
      <c r="N5" s="37">
        <f t="shared" si="0"/>
        <v>10</v>
      </c>
      <c r="O5" s="36"/>
    </row>
    <row r="6" spans="1:16" x14ac:dyDescent="0.25">
      <c r="A6" s="33" t="s">
        <v>57</v>
      </c>
      <c r="B6" s="37">
        <v>640</v>
      </c>
      <c r="C6" s="37">
        <v>400</v>
      </c>
      <c r="D6" s="37">
        <v>740</v>
      </c>
      <c r="E6" s="37">
        <v>560</v>
      </c>
      <c r="F6" s="37">
        <v>380</v>
      </c>
      <c r="G6" s="37">
        <v>560</v>
      </c>
      <c r="H6" s="37">
        <v>460</v>
      </c>
      <c r="I6" s="37">
        <v>500</v>
      </c>
      <c r="J6" s="37">
        <v>560</v>
      </c>
      <c r="K6" s="37">
        <v>620</v>
      </c>
      <c r="L6" s="37">
        <v>720</v>
      </c>
      <c r="M6" s="37">
        <v>640</v>
      </c>
      <c r="N6" s="37">
        <f t="shared" si="0"/>
        <v>6780</v>
      </c>
      <c r="O6" s="36"/>
    </row>
    <row r="7" spans="1:16" x14ac:dyDescent="0.25">
      <c r="A7" s="33" t="s">
        <v>59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>
        <f t="shared" si="0"/>
        <v>0</v>
      </c>
      <c r="O7" s="36"/>
    </row>
    <row r="8" spans="1:16" x14ac:dyDescent="0.25">
      <c r="A8" s="33" t="s">
        <v>79</v>
      </c>
      <c r="B8" s="37">
        <v>540</v>
      </c>
      <c r="C8" s="37">
        <v>60</v>
      </c>
      <c r="D8" s="37">
        <v>360</v>
      </c>
      <c r="E8" s="37">
        <v>240</v>
      </c>
      <c r="F8" s="37">
        <v>240</v>
      </c>
      <c r="G8" s="37">
        <v>420</v>
      </c>
      <c r="H8" s="37">
        <v>300</v>
      </c>
      <c r="I8" s="37">
        <v>180</v>
      </c>
      <c r="J8" s="37">
        <v>600</v>
      </c>
      <c r="K8" s="37">
        <v>240</v>
      </c>
      <c r="L8" s="37">
        <v>180</v>
      </c>
      <c r="M8" s="37">
        <v>420</v>
      </c>
      <c r="N8" s="37">
        <f t="shared" si="0"/>
        <v>3780</v>
      </c>
      <c r="O8" s="36"/>
    </row>
    <row r="9" spans="1:16" x14ac:dyDescent="0.25">
      <c r="A9" s="33" t="s">
        <v>80</v>
      </c>
      <c r="B9" s="37">
        <v>420</v>
      </c>
      <c r="C9" s="37">
        <v>240</v>
      </c>
      <c r="D9" s="37">
        <v>360</v>
      </c>
      <c r="E9" s="37">
        <v>240</v>
      </c>
      <c r="F9" s="37">
        <v>360</v>
      </c>
      <c r="G9" s="37">
        <v>120</v>
      </c>
      <c r="H9" s="37">
        <v>240</v>
      </c>
      <c r="I9" s="37">
        <v>240</v>
      </c>
      <c r="J9" s="37">
        <v>840</v>
      </c>
      <c r="K9" s="37">
        <v>240</v>
      </c>
      <c r="L9" s="37">
        <v>180</v>
      </c>
      <c r="M9" s="37">
        <v>120</v>
      </c>
      <c r="N9" s="37">
        <f t="shared" si="0"/>
        <v>3600</v>
      </c>
      <c r="O9" s="36"/>
      <c r="P9" s="32">
        <f>60*102</f>
        <v>6120</v>
      </c>
    </row>
    <row r="10" spans="1:16" x14ac:dyDescent="0.25">
      <c r="A10" s="33" t="s">
        <v>81</v>
      </c>
      <c r="B10" s="37"/>
      <c r="C10" s="37">
        <v>240</v>
      </c>
      <c r="D10" s="37">
        <v>240</v>
      </c>
      <c r="E10" s="37">
        <v>60</v>
      </c>
      <c r="F10" s="37"/>
      <c r="G10" s="37">
        <v>360</v>
      </c>
      <c r="H10" s="37">
        <v>120</v>
      </c>
      <c r="I10" s="37">
        <v>60</v>
      </c>
      <c r="J10" s="37">
        <v>180</v>
      </c>
      <c r="K10" s="37">
        <v>180</v>
      </c>
      <c r="L10" s="37">
        <v>180</v>
      </c>
      <c r="M10" s="37">
        <v>180</v>
      </c>
      <c r="N10" s="37">
        <f t="shared" si="0"/>
        <v>1800</v>
      </c>
      <c r="O10" s="36"/>
    </row>
    <row r="11" spans="1:16" x14ac:dyDescent="0.25">
      <c r="A11" s="33" t="s">
        <v>92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>
        <f t="shared" ref="N11:N16" si="1">SUM(B11:M11)</f>
        <v>0</v>
      </c>
      <c r="O11" s="36"/>
    </row>
    <row r="12" spans="1:16" x14ac:dyDescent="0.25">
      <c r="A12" s="33" t="s">
        <v>82</v>
      </c>
      <c r="B12" s="37">
        <v>600</v>
      </c>
      <c r="C12" s="37">
        <v>360</v>
      </c>
      <c r="D12" s="37">
        <v>120</v>
      </c>
      <c r="E12" s="37">
        <v>120</v>
      </c>
      <c r="F12" s="37">
        <v>120</v>
      </c>
      <c r="G12" s="37">
        <v>720</v>
      </c>
      <c r="H12" s="37">
        <v>360</v>
      </c>
      <c r="I12" s="37">
        <v>360</v>
      </c>
      <c r="J12" s="37">
        <v>120</v>
      </c>
      <c r="K12" s="37">
        <v>240</v>
      </c>
      <c r="L12" s="37">
        <v>360</v>
      </c>
      <c r="M12" s="37">
        <v>120</v>
      </c>
      <c r="N12" s="37">
        <f t="shared" si="1"/>
        <v>3600</v>
      </c>
      <c r="O12" s="36"/>
    </row>
    <row r="13" spans="1:16" x14ac:dyDescent="0.25">
      <c r="A13" s="33" t="s">
        <v>83</v>
      </c>
      <c r="B13" s="37"/>
      <c r="C13" s="37">
        <v>360</v>
      </c>
      <c r="D13" s="37"/>
      <c r="E13" s="37">
        <v>360</v>
      </c>
      <c r="F13" s="37">
        <v>240</v>
      </c>
      <c r="G13" s="37">
        <v>480</v>
      </c>
      <c r="H13" s="37">
        <v>120</v>
      </c>
      <c r="I13" s="37">
        <v>360</v>
      </c>
      <c r="J13" s="37">
        <v>120</v>
      </c>
      <c r="K13" s="37">
        <v>240</v>
      </c>
      <c r="L13" s="37"/>
      <c r="M13" s="37">
        <v>600</v>
      </c>
      <c r="N13" s="37">
        <f t="shared" si="1"/>
        <v>2880</v>
      </c>
      <c r="O13" s="36"/>
      <c r="P13" s="32">
        <f>24*192</f>
        <v>4608</v>
      </c>
    </row>
    <row r="14" spans="1:16" x14ac:dyDescent="0.25">
      <c r="A14" s="33" t="s">
        <v>84</v>
      </c>
      <c r="B14" s="37">
        <v>120</v>
      </c>
      <c r="C14" s="37"/>
      <c r="D14" s="37"/>
      <c r="E14" s="37"/>
      <c r="F14" s="37">
        <v>240</v>
      </c>
      <c r="G14" s="37"/>
      <c r="H14" s="37">
        <v>120</v>
      </c>
      <c r="I14" s="37"/>
      <c r="J14" s="37"/>
      <c r="K14" s="37"/>
      <c r="L14" s="37">
        <v>120</v>
      </c>
      <c r="M14" s="37"/>
      <c r="N14" s="37">
        <f t="shared" si="1"/>
        <v>600</v>
      </c>
      <c r="O14" s="36"/>
    </row>
    <row r="15" spans="1:16" x14ac:dyDescent="0.25">
      <c r="A15" s="33" t="s">
        <v>93</v>
      </c>
      <c r="B15" s="37"/>
      <c r="C15" s="37"/>
      <c r="D15" s="37"/>
      <c r="E15" s="37"/>
      <c r="F15" s="37"/>
      <c r="G15" s="37">
        <v>120</v>
      </c>
      <c r="H15" s="37"/>
      <c r="I15" s="37"/>
      <c r="J15" s="37"/>
      <c r="K15" s="37"/>
      <c r="L15" s="37"/>
      <c r="M15" s="37">
        <v>120</v>
      </c>
      <c r="N15" s="37">
        <f t="shared" si="1"/>
        <v>240</v>
      </c>
      <c r="O15" s="36"/>
    </row>
    <row r="16" spans="1:16" x14ac:dyDescent="0.25">
      <c r="A16" s="33" t="s">
        <v>61</v>
      </c>
      <c r="B16" s="37">
        <v>27</v>
      </c>
      <c r="C16" s="37">
        <v>29</v>
      </c>
      <c r="D16" s="37">
        <v>42</v>
      </c>
      <c r="E16" s="37">
        <v>81</v>
      </c>
      <c r="F16" s="37">
        <v>156</v>
      </c>
      <c r="G16" s="37">
        <v>176</v>
      </c>
      <c r="H16" s="37">
        <v>345</v>
      </c>
      <c r="I16" s="37">
        <v>349</v>
      </c>
      <c r="J16" s="37">
        <v>254</v>
      </c>
      <c r="K16" s="37">
        <v>57</v>
      </c>
      <c r="L16" s="37">
        <v>29</v>
      </c>
      <c r="M16" s="37">
        <v>21</v>
      </c>
      <c r="N16" s="37">
        <f t="shared" si="1"/>
        <v>1566</v>
      </c>
      <c r="O16" s="36"/>
    </row>
    <row r="17" spans="1:17" x14ac:dyDescent="0.25">
      <c r="A17" s="33" t="s">
        <v>60</v>
      </c>
      <c r="B17" s="37">
        <v>625</v>
      </c>
      <c r="C17" s="37">
        <v>725</v>
      </c>
      <c r="D17" s="37">
        <v>1300</v>
      </c>
      <c r="E17" s="37">
        <v>1250</v>
      </c>
      <c r="F17" s="37">
        <v>1225</v>
      </c>
      <c r="G17" s="37">
        <v>1325</v>
      </c>
      <c r="H17" s="37">
        <v>1275</v>
      </c>
      <c r="I17" s="37">
        <v>1225</v>
      </c>
      <c r="J17" s="37">
        <v>1225</v>
      </c>
      <c r="K17" s="37">
        <v>850</v>
      </c>
      <c r="L17" s="37">
        <v>975</v>
      </c>
      <c r="M17" s="37">
        <v>750</v>
      </c>
      <c r="N17" s="37">
        <f t="shared" ref="N17:N30" si="2">SUM(B17:M17)</f>
        <v>12750</v>
      </c>
      <c r="O17" s="36"/>
      <c r="P17" s="32">
        <f>774*40</f>
        <v>30960</v>
      </c>
      <c r="Q17" s="32">
        <f>1.6*25</f>
        <v>40</v>
      </c>
    </row>
    <row r="18" spans="1:17" x14ac:dyDescent="0.25">
      <c r="A18" s="33" t="s">
        <v>5</v>
      </c>
      <c r="B18" s="37">
        <v>2514</v>
      </c>
      <c r="C18" s="37">
        <v>2755</v>
      </c>
      <c r="D18" s="37">
        <v>3121</v>
      </c>
      <c r="E18" s="37">
        <v>3623</v>
      </c>
      <c r="F18" s="37">
        <v>4631</v>
      </c>
      <c r="G18" s="37">
        <v>4131</v>
      </c>
      <c r="H18" s="37">
        <v>6060</v>
      </c>
      <c r="I18" s="37">
        <v>6348</v>
      </c>
      <c r="J18" s="37">
        <v>4554</v>
      </c>
      <c r="K18" s="37">
        <v>3350</v>
      </c>
      <c r="L18" s="37">
        <v>3359</v>
      </c>
      <c r="M18" s="37">
        <v>3038</v>
      </c>
      <c r="N18" s="37">
        <f t="shared" si="2"/>
        <v>47484</v>
      </c>
      <c r="O18" s="36"/>
      <c r="P18" s="32">
        <f>510*45</f>
        <v>22950</v>
      </c>
    </row>
    <row r="19" spans="1:17" x14ac:dyDescent="0.25">
      <c r="A19" s="33" t="s">
        <v>75</v>
      </c>
      <c r="B19" s="37">
        <v>3119</v>
      </c>
      <c r="C19" s="37">
        <v>2990</v>
      </c>
      <c r="D19" s="37">
        <v>3675</v>
      </c>
      <c r="E19" s="37">
        <v>4015</v>
      </c>
      <c r="F19" s="37">
        <v>2934</v>
      </c>
      <c r="G19" s="37">
        <v>4119</v>
      </c>
      <c r="H19" s="37">
        <v>5107</v>
      </c>
      <c r="I19" s="37">
        <v>4782</v>
      </c>
      <c r="J19" s="37">
        <v>4003</v>
      </c>
      <c r="K19" s="37">
        <v>3743</v>
      </c>
      <c r="L19" s="37">
        <v>3510</v>
      </c>
      <c r="M19" s="37">
        <v>3316</v>
      </c>
      <c r="N19" s="37">
        <f t="shared" si="2"/>
        <v>45313</v>
      </c>
      <c r="O19" s="36"/>
      <c r="P19" s="32">
        <f>160*0.85</f>
        <v>136</v>
      </c>
    </row>
    <row r="20" spans="1:17" x14ac:dyDescent="0.25">
      <c r="A20" s="33" t="s">
        <v>62</v>
      </c>
      <c r="B20" s="37">
        <v>7</v>
      </c>
      <c r="C20" s="37">
        <v>7</v>
      </c>
      <c r="D20" s="37">
        <v>6</v>
      </c>
      <c r="E20" s="37">
        <v>5</v>
      </c>
      <c r="F20" s="37">
        <v>1</v>
      </c>
      <c r="G20" s="37">
        <v>8</v>
      </c>
      <c r="H20" s="37">
        <v>3</v>
      </c>
      <c r="I20" s="37">
        <v>9</v>
      </c>
      <c r="J20" s="37">
        <v>1</v>
      </c>
      <c r="K20" s="37">
        <v>5</v>
      </c>
      <c r="L20" s="38">
        <v>1</v>
      </c>
      <c r="M20" s="38">
        <v>1</v>
      </c>
      <c r="N20" s="37">
        <f t="shared" si="2"/>
        <v>54</v>
      </c>
      <c r="O20" s="36"/>
    </row>
    <row r="21" spans="1:17" x14ac:dyDescent="0.25">
      <c r="A21" s="33" t="s">
        <v>63</v>
      </c>
      <c r="B21" s="37">
        <v>11</v>
      </c>
      <c r="C21" s="37">
        <v>4</v>
      </c>
      <c r="D21" s="37">
        <v>17</v>
      </c>
      <c r="E21" s="37">
        <v>27</v>
      </c>
      <c r="F21" s="37">
        <v>51</v>
      </c>
      <c r="G21" s="37">
        <v>61</v>
      </c>
      <c r="H21" s="37">
        <v>92</v>
      </c>
      <c r="I21" s="37">
        <v>98</v>
      </c>
      <c r="J21" s="37">
        <v>87</v>
      </c>
      <c r="K21" s="37">
        <v>21</v>
      </c>
      <c r="L21" s="37">
        <v>9</v>
      </c>
      <c r="M21" s="37">
        <v>7</v>
      </c>
      <c r="N21" s="37">
        <f t="shared" si="2"/>
        <v>485</v>
      </c>
      <c r="O21" s="36"/>
      <c r="P21" s="32">
        <f>33678-30960</f>
        <v>2718</v>
      </c>
    </row>
    <row r="22" spans="1:17" x14ac:dyDescent="0.25">
      <c r="A22" s="33" t="s">
        <v>94</v>
      </c>
      <c r="B22" s="37"/>
      <c r="C22" s="37"/>
      <c r="D22" s="37"/>
      <c r="E22" s="37"/>
      <c r="F22" s="37"/>
      <c r="G22" s="37"/>
      <c r="H22" s="37"/>
      <c r="I22" s="37"/>
      <c r="J22" s="37"/>
      <c r="K22" s="37">
        <v>1</v>
      </c>
      <c r="L22" s="37"/>
      <c r="M22" s="37"/>
      <c r="N22" s="37">
        <f t="shared" si="2"/>
        <v>1</v>
      </c>
      <c r="O22" s="36"/>
    </row>
    <row r="23" spans="1:17" x14ac:dyDescent="0.25">
      <c r="A23" s="33" t="s">
        <v>11</v>
      </c>
      <c r="B23" s="37">
        <v>20</v>
      </c>
      <c r="C23" s="37">
        <v>17</v>
      </c>
      <c r="D23" s="37">
        <v>44</v>
      </c>
      <c r="E23" s="37">
        <v>16</v>
      </c>
      <c r="F23" s="37">
        <v>22</v>
      </c>
      <c r="G23" s="37"/>
      <c r="H23" s="37"/>
      <c r="I23" s="37"/>
      <c r="J23" s="37">
        <v>19</v>
      </c>
      <c r="K23" s="37">
        <v>22</v>
      </c>
      <c r="L23" s="37">
        <v>19</v>
      </c>
      <c r="M23" s="37">
        <v>12</v>
      </c>
      <c r="N23" s="37">
        <f t="shared" si="2"/>
        <v>191</v>
      </c>
      <c r="O23" s="36"/>
    </row>
    <row r="24" spans="1:17" x14ac:dyDescent="0.25">
      <c r="A24" s="33" t="s">
        <v>12</v>
      </c>
      <c r="B24" s="37">
        <v>18</v>
      </c>
      <c r="C24" s="37">
        <v>5</v>
      </c>
      <c r="D24" s="37">
        <v>4</v>
      </c>
      <c r="E24" s="37">
        <v>15</v>
      </c>
      <c r="F24" s="37">
        <v>6</v>
      </c>
      <c r="G24" s="37">
        <v>17</v>
      </c>
      <c r="H24" s="37">
        <v>5</v>
      </c>
      <c r="I24" s="37">
        <v>35</v>
      </c>
      <c r="J24" s="37">
        <v>13</v>
      </c>
      <c r="K24" s="37">
        <v>11</v>
      </c>
      <c r="L24" s="37">
        <v>5</v>
      </c>
      <c r="M24" s="37">
        <v>4</v>
      </c>
      <c r="N24" s="37">
        <f t="shared" si="2"/>
        <v>138</v>
      </c>
      <c r="O24" s="36"/>
    </row>
    <row r="25" spans="1:17" x14ac:dyDescent="0.25">
      <c r="A25" s="33" t="s">
        <v>90</v>
      </c>
      <c r="B25" s="37">
        <v>851</v>
      </c>
      <c r="C25" s="37">
        <v>778</v>
      </c>
      <c r="D25" s="37">
        <v>1001</v>
      </c>
      <c r="E25" s="37">
        <v>1486</v>
      </c>
      <c r="F25" s="37">
        <v>1620</v>
      </c>
      <c r="G25" s="37">
        <v>1749</v>
      </c>
      <c r="H25" s="37">
        <v>3502</v>
      </c>
      <c r="I25" s="37">
        <v>3362</v>
      </c>
      <c r="J25" s="37">
        <v>1660</v>
      </c>
      <c r="K25" s="37">
        <v>1123</v>
      </c>
      <c r="L25" s="37">
        <v>1088</v>
      </c>
      <c r="M25" s="37">
        <v>1195</v>
      </c>
      <c r="N25" s="37">
        <f t="shared" si="2"/>
        <v>19415</v>
      </c>
      <c r="O25" s="36"/>
    </row>
    <row r="26" spans="1:17" x14ac:dyDescent="0.25">
      <c r="A26" s="33" t="s">
        <v>76</v>
      </c>
      <c r="B26" s="37">
        <v>1527</v>
      </c>
      <c r="C26" s="37">
        <v>1414</v>
      </c>
      <c r="D26" s="37">
        <v>1729</v>
      </c>
      <c r="E26" s="37">
        <v>1993</v>
      </c>
      <c r="F26" s="37">
        <v>1487</v>
      </c>
      <c r="G26" s="37">
        <v>2134</v>
      </c>
      <c r="H26" s="37">
        <v>2445</v>
      </c>
      <c r="I26" s="37">
        <v>2322</v>
      </c>
      <c r="J26" s="37">
        <v>2127</v>
      </c>
      <c r="K26" s="37">
        <v>1983</v>
      </c>
      <c r="L26" s="37">
        <v>1717</v>
      </c>
      <c r="M26" s="37">
        <v>1783</v>
      </c>
      <c r="N26" s="37">
        <f t="shared" si="2"/>
        <v>22661</v>
      </c>
      <c r="O26" s="36"/>
    </row>
    <row r="27" spans="1:17" x14ac:dyDescent="0.25">
      <c r="A27" s="33" t="s">
        <v>105</v>
      </c>
      <c r="B27" s="37"/>
      <c r="C27" s="37"/>
      <c r="D27" s="37"/>
      <c r="E27" s="37">
        <v>1</v>
      </c>
      <c r="F27" s="37">
        <v>8</v>
      </c>
      <c r="G27" s="37">
        <v>13</v>
      </c>
      <c r="H27" s="37">
        <v>37</v>
      </c>
      <c r="I27" s="37">
        <v>33</v>
      </c>
      <c r="J27" s="37">
        <v>24</v>
      </c>
      <c r="K27" s="37">
        <v>1</v>
      </c>
      <c r="L27" s="37">
        <v>1</v>
      </c>
      <c r="M27" s="37">
        <v>1</v>
      </c>
      <c r="N27" s="37"/>
      <c r="O27" s="36"/>
    </row>
    <row r="28" spans="1:17" x14ac:dyDescent="0.25">
      <c r="A28" s="33" t="s">
        <v>88</v>
      </c>
      <c r="B28" s="37">
        <v>6</v>
      </c>
      <c r="C28" s="37">
        <v>10</v>
      </c>
      <c r="D28" s="37">
        <v>8</v>
      </c>
      <c r="E28" s="37">
        <v>25</v>
      </c>
      <c r="F28" s="37">
        <v>14</v>
      </c>
      <c r="G28" s="37">
        <v>41</v>
      </c>
      <c r="H28" s="37">
        <v>105</v>
      </c>
      <c r="I28" s="37">
        <v>78</v>
      </c>
      <c r="J28" s="37">
        <v>49</v>
      </c>
      <c r="K28" s="37">
        <v>11</v>
      </c>
      <c r="L28" s="37">
        <v>12</v>
      </c>
      <c r="M28" s="37">
        <v>5</v>
      </c>
      <c r="N28" s="37">
        <f t="shared" si="2"/>
        <v>364</v>
      </c>
      <c r="O28" s="36"/>
    </row>
    <row r="29" spans="1:17" x14ac:dyDescent="0.25">
      <c r="A29" s="33" t="s">
        <v>15</v>
      </c>
      <c r="B29" s="37">
        <v>25</v>
      </c>
      <c r="C29" s="37">
        <v>50</v>
      </c>
      <c r="D29" s="37">
        <v>100</v>
      </c>
      <c r="E29" s="37">
        <v>200</v>
      </c>
      <c r="F29" s="37">
        <v>175</v>
      </c>
      <c r="G29" s="37">
        <v>350</v>
      </c>
      <c r="H29" s="37">
        <v>100</v>
      </c>
      <c r="I29" s="37">
        <v>200</v>
      </c>
      <c r="J29" s="37">
        <v>100</v>
      </c>
      <c r="K29" s="37">
        <v>75</v>
      </c>
      <c r="L29" s="37">
        <v>125</v>
      </c>
      <c r="M29" s="37">
        <v>150</v>
      </c>
      <c r="N29" s="37">
        <f t="shared" si="2"/>
        <v>1650</v>
      </c>
      <c r="O29" s="36"/>
    </row>
    <row r="30" spans="1:17" x14ac:dyDescent="0.25">
      <c r="A30" s="33" t="s">
        <v>89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>
        <f t="shared" si="2"/>
        <v>0</v>
      </c>
      <c r="O30" s="36"/>
    </row>
    <row r="31" spans="1:17" x14ac:dyDescent="0.25">
      <c r="A31" s="33" t="s">
        <v>65</v>
      </c>
      <c r="B31" s="37">
        <v>316</v>
      </c>
      <c r="C31" s="37">
        <v>282</v>
      </c>
      <c r="D31" s="37">
        <v>346</v>
      </c>
      <c r="E31" s="37">
        <v>304</v>
      </c>
      <c r="F31" s="37">
        <v>261</v>
      </c>
      <c r="G31" s="37">
        <v>330</v>
      </c>
      <c r="H31" s="37">
        <v>353</v>
      </c>
      <c r="I31" s="37">
        <v>354</v>
      </c>
      <c r="J31" s="37">
        <v>279</v>
      </c>
      <c r="K31" s="37">
        <v>335</v>
      </c>
      <c r="L31" s="37">
        <v>292</v>
      </c>
      <c r="M31" s="37">
        <v>254</v>
      </c>
      <c r="N31" s="37">
        <f t="shared" ref="N31:N44" si="3">SUM(B31:M31)</f>
        <v>3706</v>
      </c>
      <c r="O31" s="36"/>
    </row>
    <row r="32" spans="1:17" x14ac:dyDescent="0.25">
      <c r="A32" s="33" t="s">
        <v>66</v>
      </c>
      <c r="B32" s="37">
        <v>112</v>
      </c>
      <c r="C32" s="37">
        <v>93</v>
      </c>
      <c r="D32" s="37">
        <v>139</v>
      </c>
      <c r="E32" s="37">
        <v>135</v>
      </c>
      <c r="F32" s="37">
        <v>90</v>
      </c>
      <c r="G32" s="37">
        <v>126</v>
      </c>
      <c r="H32" s="37">
        <v>97</v>
      </c>
      <c r="I32" s="37">
        <v>126</v>
      </c>
      <c r="J32" s="37">
        <v>99</v>
      </c>
      <c r="K32" s="37">
        <v>132</v>
      </c>
      <c r="L32" s="37">
        <v>101</v>
      </c>
      <c r="M32" s="37">
        <v>101</v>
      </c>
      <c r="N32" s="37">
        <f t="shared" si="3"/>
        <v>1351</v>
      </c>
      <c r="O32" s="36"/>
    </row>
    <row r="33" spans="1:15" x14ac:dyDescent="0.25">
      <c r="A33" s="33" t="s">
        <v>67</v>
      </c>
      <c r="B33" s="37">
        <v>24</v>
      </c>
      <c r="C33" s="37">
        <v>32</v>
      </c>
      <c r="D33" s="37">
        <v>59</v>
      </c>
      <c r="E33" s="37">
        <v>47</v>
      </c>
      <c r="F33" s="37">
        <v>46</v>
      </c>
      <c r="G33" s="37">
        <v>55</v>
      </c>
      <c r="H33" s="37">
        <v>69</v>
      </c>
      <c r="I33" s="37">
        <v>70</v>
      </c>
      <c r="J33" s="37">
        <v>62</v>
      </c>
      <c r="K33" s="37">
        <v>46</v>
      </c>
      <c r="L33" s="37">
        <v>34</v>
      </c>
      <c r="M33" s="37">
        <v>22</v>
      </c>
      <c r="N33" s="37">
        <f t="shared" si="3"/>
        <v>566</v>
      </c>
      <c r="O33" s="36"/>
    </row>
    <row r="34" spans="1:15" x14ac:dyDescent="0.25">
      <c r="A34" s="33" t="s">
        <v>68</v>
      </c>
      <c r="B34" s="37">
        <v>25</v>
      </c>
      <c r="C34" s="37">
        <v>38</v>
      </c>
      <c r="D34" s="37">
        <v>49</v>
      </c>
      <c r="E34" s="37">
        <v>72</v>
      </c>
      <c r="F34" s="37">
        <v>52</v>
      </c>
      <c r="G34" s="37">
        <v>82</v>
      </c>
      <c r="H34" s="37">
        <v>96</v>
      </c>
      <c r="I34" s="37">
        <v>101</v>
      </c>
      <c r="J34" s="37">
        <v>74</v>
      </c>
      <c r="K34" s="37">
        <v>56</v>
      </c>
      <c r="L34" s="37">
        <v>81</v>
      </c>
      <c r="M34" s="37">
        <v>22</v>
      </c>
      <c r="N34" s="37">
        <f t="shared" si="3"/>
        <v>748</v>
      </c>
      <c r="O34" s="36"/>
    </row>
    <row r="35" spans="1:15" x14ac:dyDescent="0.25">
      <c r="A35" s="33" t="s">
        <v>69</v>
      </c>
      <c r="B35" s="37">
        <v>9</v>
      </c>
      <c r="C35" s="37">
        <v>12</v>
      </c>
      <c r="D35" s="37">
        <v>27</v>
      </c>
      <c r="E35" s="37">
        <v>32</v>
      </c>
      <c r="F35" s="37">
        <v>27</v>
      </c>
      <c r="G35" s="37">
        <v>36</v>
      </c>
      <c r="H35" s="37">
        <v>50</v>
      </c>
      <c r="I35" s="37">
        <v>47</v>
      </c>
      <c r="J35" s="37">
        <v>25</v>
      </c>
      <c r="K35" s="37">
        <v>16</v>
      </c>
      <c r="L35" s="37">
        <v>11</v>
      </c>
      <c r="M35" s="37">
        <v>5</v>
      </c>
      <c r="N35" s="37">
        <f t="shared" si="3"/>
        <v>297</v>
      </c>
      <c r="O35" s="36"/>
    </row>
    <row r="36" spans="1:15" x14ac:dyDescent="0.25">
      <c r="A36" s="33" t="s">
        <v>70</v>
      </c>
      <c r="B36" s="37">
        <v>5</v>
      </c>
      <c r="C36" s="37">
        <v>2</v>
      </c>
      <c r="D36" s="37">
        <v>11</v>
      </c>
      <c r="E36" s="37">
        <v>12</v>
      </c>
      <c r="F36" s="37">
        <v>9</v>
      </c>
      <c r="G36" s="37">
        <v>10</v>
      </c>
      <c r="H36" s="37">
        <v>12</v>
      </c>
      <c r="I36" s="37">
        <v>9</v>
      </c>
      <c r="J36" s="37">
        <v>15</v>
      </c>
      <c r="K36" s="37">
        <v>14</v>
      </c>
      <c r="L36" s="37">
        <v>15</v>
      </c>
      <c r="M36" s="37">
        <v>6</v>
      </c>
      <c r="N36" s="37">
        <f t="shared" si="3"/>
        <v>120</v>
      </c>
      <c r="O36" s="36"/>
    </row>
    <row r="37" spans="1:15" x14ac:dyDescent="0.25">
      <c r="A37" s="33" t="s">
        <v>71</v>
      </c>
      <c r="B37" s="37">
        <v>4</v>
      </c>
      <c r="C37" s="37">
        <v>5</v>
      </c>
      <c r="D37" s="37">
        <v>6</v>
      </c>
      <c r="E37" s="37">
        <v>7</v>
      </c>
      <c r="F37" s="37">
        <v>4</v>
      </c>
      <c r="G37" s="37">
        <v>8</v>
      </c>
      <c r="H37" s="37">
        <v>5</v>
      </c>
      <c r="I37" s="37">
        <v>5</v>
      </c>
      <c r="J37" s="37">
        <v>4</v>
      </c>
      <c r="K37" s="37">
        <v>4</v>
      </c>
      <c r="L37" s="37">
        <v>5</v>
      </c>
      <c r="M37" s="37">
        <v>3</v>
      </c>
      <c r="N37" s="37">
        <f t="shared" si="3"/>
        <v>60</v>
      </c>
      <c r="O37" s="36"/>
    </row>
    <row r="38" spans="1:15" x14ac:dyDescent="0.25">
      <c r="A38" s="33" t="s">
        <v>72</v>
      </c>
      <c r="B38" s="37">
        <v>3</v>
      </c>
      <c r="C38" s="37">
        <v>6</v>
      </c>
      <c r="D38" s="37"/>
      <c r="E38" s="37">
        <v>9</v>
      </c>
      <c r="F38" s="37"/>
      <c r="G38" s="37">
        <v>1</v>
      </c>
      <c r="H38" s="37"/>
      <c r="I38" s="37">
        <v>4</v>
      </c>
      <c r="J38" s="37">
        <v>3</v>
      </c>
      <c r="K38" s="37">
        <v>2</v>
      </c>
      <c r="L38" s="37">
        <v>3</v>
      </c>
      <c r="M38" s="37">
        <v>3</v>
      </c>
      <c r="N38" s="37">
        <f t="shared" si="3"/>
        <v>34</v>
      </c>
      <c r="O38" s="36"/>
    </row>
    <row r="39" spans="1:15" x14ac:dyDescent="0.25">
      <c r="A39" s="33" t="s">
        <v>73</v>
      </c>
      <c r="B39" s="37">
        <v>15</v>
      </c>
      <c r="C39" s="37">
        <v>6</v>
      </c>
      <c r="D39" s="37">
        <v>5</v>
      </c>
      <c r="E39" s="37">
        <v>11</v>
      </c>
      <c r="F39" s="37">
        <v>6</v>
      </c>
      <c r="G39" s="37">
        <v>10</v>
      </c>
      <c r="H39" s="37">
        <v>6</v>
      </c>
      <c r="I39" s="37">
        <v>18</v>
      </c>
      <c r="J39" s="37">
        <v>10</v>
      </c>
      <c r="K39" s="37">
        <v>7</v>
      </c>
      <c r="L39" s="37">
        <v>5</v>
      </c>
      <c r="M39" s="37">
        <v>5</v>
      </c>
      <c r="N39" s="37">
        <f t="shared" si="3"/>
        <v>104</v>
      </c>
      <c r="O39" s="36"/>
    </row>
    <row r="40" spans="1:15" x14ac:dyDescent="0.25">
      <c r="A40" s="33" t="s">
        <v>26</v>
      </c>
      <c r="B40" s="37">
        <v>753</v>
      </c>
      <c r="C40" s="37">
        <v>719</v>
      </c>
      <c r="D40" s="37">
        <v>768</v>
      </c>
      <c r="E40" s="37">
        <v>753</v>
      </c>
      <c r="F40" s="37">
        <v>768</v>
      </c>
      <c r="G40" s="37">
        <v>734</v>
      </c>
      <c r="H40" s="37">
        <v>774</v>
      </c>
      <c r="I40" s="37">
        <v>782</v>
      </c>
      <c r="J40" s="37">
        <v>731</v>
      </c>
      <c r="K40" s="37"/>
      <c r="L40" s="38">
        <v>748</v>
      </c>
      <c r="M40" s="38">
        <v>749</v>
      </c>
      <c r="N40" s="37">
        <f t="shared" si="3"/>
        <v>8279</v>
      </c>
      <c r="O40" s="36"/>
    </row>
    <row r="41" spans="1:15" x14ac:dyDescent="0.25">
      <c r="A41" s="33" t="s">
        <v>77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8"/>
      <c r="M41" s="38">
        <v>12</v>
      </c>
      <c r="N41" s="37">
        <f t="shared" si="3"/>
        <v>12</v>
      </c>
      <c r="O41" s="36"/>
    </row>
    <row r="42" spans="1:15" x14ac:dyDescent="0.25">
      <c r="A42" s="33" t="s">
        <v>78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8"/>
      <c r="M42" s="38"/>
      <c r="N42" s="37">
        <f t="shared" si="3"/>
        <v>0</v>
      </c>
      <c r="O42" s="36"/>
    </row>
    <row r="43" spans="1:15" x14ac:dyDescent="0.25">
      <c r="A43" s="33" t="s">
        <v>85</v>
      </c>
      <c r="B43" s="37">
        <v>38</v>
      </c>
      <c r="C43" s="37">
        <v>12</v>
      </c>
      <c r="D43" s="37">
        <v>11</v>
      </c>
      <c r="E43" s="37">
        <v>12</v>
      </c>
      <c r="F43" s="37">
        <v>10</v>
      </c>
      <c r="G43" s="37">
        <v>4</v>
      </c>
      <c r="H43" s="37">
        <v>6</v>
      </c>
      <c r="I43" s="37">
        <v>6</v>
      </c>
      <c r="J43" s="37">
        <v>2</v>
      </c>
      <c r="K43" s="37">
        <v>3</v>
      </c>
      <c r="L43" s="38">
        <v>4</v>
      </c>
      <c r="M43" s="38">
        <v>26</v>
      </c>
      <c r="N43" s="37">
        <f t="shared" si="3"/>
        <v>134</v>
      </c>
      <c r="O43" s="36"/>
    </row>
    <row r="44" spans="1:15" x14ac:dyDescent="0.25">
      <c r="A44" s="33" t="s">
        <v>91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38"/>
      <c r="N44" s="37">
        <f t="shared" si="3"/>
        <v>0</v>
      </c>
      <c r="O44" s="36"/>
    </row>
    <row r="45" spans="1:15" x14ac:dyDescent="0.25">
      <c r="A45" s="39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6"/>
    </row>
    <row r="46" spans="1:15" x14ac:dyDescent="0.25">
      <c r="A46" s="39" t="s">
        <v>86</v>
      </c>
      <c r="B46" s="40">
        <f t="shared" ref="B46:N46" si="4">+B4+B5+B6+B7+B8+B10+B12+B14</f>
        <v>2070</v>
      </c>
      <c r="C46" s="40">
        <f t="shared" si="4"/>
        <v>1220</v>
      </c>
      <c r="D46" s="40">
        <f t="shared" si="4"/>
        <v>1700</v>
      </c>
      <c r="E46" s="40">
        <f t="shared" si="4"/>
        <v>1270</v>
      </c>
      <c r="F46" s="40">
        <f t="shared" si="4"/>
        <v>1130</v>
      </c>
      <c r="G46" s="40">
        <f t="shared" si="4"/>
        <v>2320</v>
      </c>
      <c r="H46" s="40">
        <f t="shared" si="4"/>
        <v>1610</v>
      </c>
      <c r="I46" s="40">
        <f t="shared" si="4"/>
        <v>1290</v>
      </c>
      <c r="J46" s="40">
        <f t="shared" si="4"/>
        <v>1750</v>
      </c>
      <c r="K46" s="40">
        <f t="shared" si="4"/>
        <v>1530</v>
      </c>
      <c r="L46" s="40">
        <f t="shared" si="4"/>
        <v>1790</v>
      </c>
      <c r="M46" s="40">
        <f t="shared" si="4"/>
        <v>1580</v>
      </c>
      <c r="N46" s="40">
        <f t="shared" si="4"/>
        <v>19260</v>
      </c>
      <c r="O46" s="36"/>
    </row>
    <row r="47" spans="1:15" x14ac:dyDescent="0.25">
      <c r="A47" s="39" t="s">
        <v>87</v>
      </c>
      <c r="B47" s="40">
        <f t="shared" ref="B47:N47" si="5">+B17+B29+B9+B13+B43</f>
        <v>1108</v>
      </c>
      <c r="C47" s="40">
        <f t="shared" si="5"/>
        <v>1387</v>
      </c>
      <c r="D47" s="40">
        <f t="shared" si="5"/>
        <v>1771</v>
      </c>
      <c r="E47" s="40">
        <f t="shared" si="5"/>
        <v>2062</v>
      </c>
      <c r="F47" s="40">
        <f t="shared" si="5"/>
        <v>2010</v>
      </c>
      <c r="G47" s="40">
        <f t="shared" si="5"/>
        <v>2279</v>
      </c>
      <c r="H47" s="40">
        <f t="shared" si="5"/>
        <v>1741</v>
      </c>
      <c r="I47" s="40">
        <f t="shared" si="5"/>
        <v>2031</v>
      </c>
      <c r="J47" s="40">
        <f t="shared" si="5"/>
        <v>2287</v>
      </c>
      <c r="K47" s="40">
        <f t="shared" si="5"/>
        <v>1408</v>
      </c>
      <c r="L47" s="40">
        <f t="shared" si="5"/>
        <v>1284</v>
      </c>
      <c r="M47" s="40">
        <f t="shared" si="5"/>
        <v>1646</v>
      </c>
      <c r="N47" s="40">
        <f t="shared" si="5"/>
        <v>21014</v>
      </c>
      <c r="O47" s="36"/>
    </row>
    <row r="48" spans="1:15" x14ac:dyDescent="0.25">
      <c r="A48" s="33" t="s">
        <v>50</v>
      </c>
      <c r="B48" s="40">
        <f t="shared" ref="B48:N48" si="6">B4+B5+B6+B7+B21+B26+B30+B19+B31+B32+B33+B34+B35+B36+B37+B38+B39+B42+B8+B10+B12+B14</f>
        <v>7240</v>
      </c>
      <c r="C48" s="40">
        <f t="shared" si="6"/>
        <v>6104</v>
      </c>
      <c r="D48" s="40">
        <f t="shared" si="6"/>
        <v>7763</v>
      </c>
      <c r="E48" s="40">
        <f t="shared" si="6"/>
        <v>7934</v>
      </c>
      <c r="F48" s="40">
        <f t="shared" si="6"/>
        <v>6097</v>
      </c>
      <c r="G48" s="40">
        <f t="shared" si="6"/>
        <v>9292</v>
      </c>
      <c r="H48" s="40">
        <f t="shared" si="6"/>
        <v>9942</v>
      </c>
      <c r="I48" s="40">
        <f t="shared" si="6"/>
        <v>9226</v>
      </c>
      <c r="J48" s="40">
        <f t="shared" si="6"/>
        <v>8538</v>
      </c>
      <c r="K48" s="40">
        <f t="shared" si="6"/>
        <v>7889</v>
      </c>
      <c r="L48" s="40">
        <f t="shared" si="6"/>
        <v>7573</v>
      </c>
      <c r="M48" s="40">
        <f t="shared" si="6"/>
        <v>7107</v>
      </c>
      <c r="N48" s="40">
        <f t="shared" si="6"/>
        <v>94705</v>
      </c>
      <c r="O48" s="36"/>
    </row>
    <row r="49" spans="1:15" x14ac:dyDescent="0.25">
      <c r="A49" s="33" t="s">
        <v>28</v>
      </c>
      <c r="B49" s="40">
        <f>+B4+B5+B6+B7+B17+B18+B19+B20+B21+B25+B26+B29+B31+B32+B33+B34+B35+B36+B37+B38+B39+B42+B8+B9+B10+B12+B28+B43+B13+B14+B30+B11+B15+B22+B27+B30</f>
        <v>11726</v>
      </c>
      <c r="C49" s="40">
        <f t="shared" ref="C49:N49" si="7">+C4+C5+C6+C7+C17+C18+C19+C20+C21+C25+C26+C29+C31+C32+C33+C34+C35+C36+C37+C38+C39+C42+C8+C9+C10+C12+C28+C43+C13+C14+C30+C11+C15+C22+C27+C30</f>
        <v>11041</v>
      </c>
      <c r="D49" s="40">
        <f t="shared" si="7"/>
        <v>13670</v>
      </c>
      <c r="E49" s="40">
        <f t="shared" si="7"/>
        <v>15136</v>
      </c>
      <c r="F49" s="40">
        <f t="shared" si="7"/>
        <v>14381</v>
      </c>
      <c r="G49" s="40">
        <f t="shared" si="7"/>
        <v>17633</v>
      </c>
      <c r="H49" s="40">
        <f t="shared" si="7"/>
        <v>21390</v>
      </c>
      <c r="I49" s="40">
        <f t="shared" si="7"/>
        <v>21087</v>
      </c>
      <c r="J49" s="40">
        <f t="shared" si="7"/>
        <v>17113</v>
      </c>
      <c r="K49" s="40">
        <f t="shared" si="7"/>
        <v>13788</v>
      </c>
      <c r="L49" s="40">
        <f t="shared" si="7"/>
        <v>13318</v>
      </c>
      <c r="M49" s="40">
        <f t="shared" si="7"/>
        <v>13113</v>
      </c>
      <c r="N49" s="40">
        <f t="shared" si="7"/>
        <v>183277</v>
      </c>
      <c r="O49" s="36"/>
    </row>
    <row r="50" spans="1:15" x14ac:dyDescent="0.25">
      <c r="A50" s="33" t="s">
        <v>46</v>
      </c>
      <c r="B50" s="40">
        <f t="shared" ref="B50:M50" si="8">SUM(B4:B43)-B24-B40-B41</f>
        <v>11773</v>
      </c>
      <c r="C50" s="40">
        <f t="shared" si="8"/>
        <v>11087</v>
      </c>
      <c r="D50" s="40">
        <f t="shared" si="8"/>
        <v>13756</v>
      </c>
      <c r="E50" s="40">
        <f t="shared" si="8"/>
        <v>15233</v>
      </c>
      <c r="F50" s="40">
        <f t="shared" si="8"/>
        <v>14559</v>
      </c>
      <c r="G50" s="40">
        <f t="shared" si="8"/>
        <v>17809</v>
      </c>
      <c r="H50" s="40">
        <f t="shared" si="8"/>
        <v>21735</v>
      </c>
      <c r="I50" s="40">
        <f t="shared" si="8"/>
        <v>21436</v>
      </c>
      <c r="J50" s="40">
        <f t="shared" si="8"/>
        <v>17386</v>
      </c>
      <c r="K50" s="40">
        <f t="shared" si="8"/>
        <v>13867</v>
      </c>
      <c r="L50" s="40">
        <f t="shared" si="8"/>
        <v>13366</v>
      </c>
      <c r="M50" s="40">
        <f t="shared" si="8"/>
        <v>13146</v>
      </c>
      <c r="N50" s="40">
        <f>SUM(N4:N43)-N24-N40-N41-N23</f>
        <v>184843</v>
      </c>
      <c r="O50" s="36"/>
    </row>
    <row r="51" spans="1:15" x14ac:dyDescent="0.25">
      <c r="A51" s="33" t="s">
        <v>52</v>
      </c>
      <c r="B51" s="40">
        <f t="shared" ref="B51:L51" si="9">+B17+B18+B25+B29+B9+B13+B28+B43+B16</f>
        <v>4506</v>
      </c>
      <c r="C51" s="40">
        <f>+C17+C18+C25+C29+C9+C13+C28+C43+C16</f>
        <v>4959</v>
      </c>
      <c r="D51" s="40">
        <f t="shared" si="9"/>
        <v>5943</v>
      </c>
      <c r="E51" s="40">
        <f t="shared" si="9"/>
        <v>7277</v>
      </c>
      <c r="F51" s="40">
        <f t="shared" si="9"/>
        <v>8431</v>
      </c>
      <c r="G51" s="40">
        <f t="shared" si="9"/>
        <v>8376</v>
      </c>
      <c r="H51" s="40">
        <f t="shared" si="9"/>
        <v>11753</v>
      </c>
      <c r="I51" s="40">
        <f t="shared" si="9"/>
        <v>12168</v>
      </c>
      <c r="J51" s="40">
        <f t="shared" si="9"/>
        <v>8804</v>
      </c>
      <c r="K51" s="40">
        <f t="shared" si="9"/>
        <v>5949</v>
      </c>
      <c r="L51" s="40">
        <f t="shared" si="9"/>
        <v>5772</v>
      </c>
      <c r="M51" s="40">
        <f>+M17+M18+M25+M29+M9+M13+M28+M43+M16</f>
        <v>5905</v>
      </c>
      <c r="N51" s="40">
        <f>+N17+N18+N25+N29+N9+N13+N28+N43</f>
        <v>88277</v>
      </c>
      <c r="O51" s="36"/>
    </row>
    <row r="52" spans="1:15" x14ac:dyDescent="0.25">
      <c r="A52" s="36"/>
      <c r="B52" s="18">
        <f t="shared" ref="B52:N52" si="10">SUM(B4:B43)</f>
        <v>12544</v>
      </c>
      <c r="C52" s="18">
        <f t="shared" si="10"/>
        <v>11811</v>
      </c>
      <c r="D52" s="18">
        <f t="shared" si="10"/>
        <v>14528</v>
      </c>
      <c r="E52" s="18">
        <f t="shared" si="10"/>
        <v>16001</v>
      </c>
      <c r="F52" s="18">
        <f t="shared" si="10"/>
        <v>15333</v>
      </c>
      <c r="G52" s="18">
        <f t="shared" si="10"/>
        <v>18560</v>
      </c>
      <c r="H52" s="18">
        <f t="shared" si="10"/>
        <v>22514</v>
      </c>
      <c r="I52" s="18">
        <f t="shared" si="10"/>
        <v>22253</v>
      </c>
      <c r="J52" s="18">
        <f t="shared" si="10"/>
        <v>18130</v>
      </c>
      <c r="K52" s="18">
        <f t="shared" si="10"/>
        <v>13878</v>
      </c>
      <c r="L52" s="18">
        <f t="shared" si="10"/>
        <v>14119</v>
      </c>
      <c r="M52" s="18">
        <f t="shared" si="10"/>
        <v>13911</v>
      </c>
      <c r="N52" s="18">
        <f t="shared" si="10"/>
        <v>193463</v>
      </c>
    </row>
    <row r="53" spans="1:15" x14ac:dyDescent="0.25">
      <c r="A53" s="41"/>
    </row>
    <row r="60" spans="1:15" x14ac:dyDescent="0.25">
      <c r="A60" s="39" t="s">
        <v>179</v>
      </c>
      <c r="B60" s="40">
        <f>+B4+B5+B6+B7+B8+B10+B11+B12+B14+B15</f>
        <v>2070</v>
      </c>
      <c r="C60" s="40">
        <f t="shared" ref="C60:M60" si="11">+C4+C5+C6+C7+C8+C10+C11+C12+C14+C15</f>
        <v>1220</v>
      </c>
      <c r="D60" s="40">
        <f t="shared" si="11"/>
        <v>1700</v>
      </c>
      <c r="E60" s="40">
        <f t="shared" si="11"/>
        <v>1270</v>
      </c>
      <c r="F60" s="40">
        <f t="shared" si="11"/>
        <v>1130</v>
      </c>
      <c r="G60" s="40">
        <f t="shared" si="11"/>
        <v>2440</v>
      </c>
      <c r="H60" s="40">
        <f t="shared" si="11"/>
        <v>1610</v>
      </c>
      <c r="I60" s="40">
        <f t="shared" si="11"/>
        <v>1290</v>
      </c>
      <c r="J60" s="40">
        <f t="shared" si="11"/>
        <v>1750</v>
      </c>
      <c r="K60" s="40">
        <f t="shared" si="11"/>
        <v>1530</v>
      </c>
      <c r="L60" s="40">
        <f t="shared" si="11"/>
        <v>1790</v>
      </c>
      <c r="M60" s="40">
        <f t="shared" si="11"/>
        <v>1700</v>
      </c>
      <c r="N60" s="40">
        <f>SUM(B60:M60)</f>
        <v>19500</v>
      </c>
    </row>
    <row r="61" spans="1:15" x14ac:dyDescent="0.25">
      <c r="A61" s="39" t="s">
        <v>177</v>
      </c>
      <c r="B61" s="40">
        <f>+B19+B26</f>
        <v>4646</v>
      </c>
      <c r="C61" s="40">
        <f t="shared" ref="C61:M61" si="12">+C19+C26</f>
        <v>4404</v>
      </c>
      <c r="D61" s="40">
        <f t="shared" si="12"/>
        <v>5404</v>
      </c>
      <c r="E61" s="40">
        <f t="shared" si="12"/>
        <v>6008</v>
      </c>
      <c r="F61" s="40">
        <f t="shared" si="12"/>
        <v>4421</v>
      </c>
      <c r="G61" s="40">
        <f t="shared" si="12"/>
        <v>6253</v>
      </c>
      <c r="H61" s="40">
        <f t="shared" si="12"/>
        <v>7552</v>
      </c>
      <c r="I61" s="40">
        <f t="shared" si="12"/>
        <v>7104</v>
      </c>
      <c r="J61" s="40">
        <f t="shared" si="12"/>
        <v>6130</v>
      </c>
      <c r="K61" s="40">
        <f t="shared" si="12"/>
        <v>5726</v>
      </c>
      <c r="L61" s="40">
        <f t="shared" si="12"/>
        <v>5227</v>
      </c>
      <c r="M61" s="40">
        <f t="shared" si="12"/>
        <v>5099</v>
      </c>
      <c r="N61" s="40">
        <f t="shared" ref="N61:N66" si="13">SUM(B61:M61)</f>
        <v>67974</v>
      </c>
    </row>
    <row r="62" spans="1:15" x14ac:dyDescent="0.25">
      <c r="A62" s="33" t="s">
        <v>178</v>
      </c>
      <c r="B62" s="40">
        <f>+B21+B22+B27</f>
        <v>11</v>
      </c>
      <c r="C62" s="40">
        <f t="shared" ref="C62:M62" si="14">+C21+C22+C27</f>
        <v>4</v>
      </c>
      <c r="D62" s="40">
        <f t="shared" si="14"/>
        <v>17</v>
      </c>
      <c r="E62" s="40">
        <f t="shared" si="14"/>
        <v>28</v>
      </c>
      <c r="F62" s="40">
        <f t="shared" si="14"/>
        <v>59</v>
      </c>
      <c r="G62" s="40">
        <f t="shared" si="14"/>
        <v>74</v>
      </c>
      <c r="H62" s="40">
        <f t="shared" si="14"/>
        <v>129</v>
      </c>
      <c r="I62" s="40">
        <f t="shared" si="14"/>
        <v>131</v>
      </c>
      <c r="J62" s="40">
        <f t="shared" si="14"/>
        <v>111</v>
      </c>
      <c r="K62" s="40">
        <f t="shared" si="14"/>
        <v>23</v>
      </c>
      <c r="L62" s="40">
        <f t="shared" si="14"/>
        <v>10</v>
      </c>
      <c r="M62" s="40">
        <f t="shared" si="14"/>
        <v>8</v>
      </c>
      <c r="N62" s="40">
        <f t="shared" si="13"/>
        <v>605</v>
      </c>
    </row>
    <row r="63" spans="1:15" x14ac:dyDescent="0.25">
      <c r="A63" s="33" t="s">
        <v>180</v>
      </c>
      <c r="B63" s="40">
        <f>+B30+B31+B32+B33+B34+B35+B36+B37+B38+B39</f>
        <v>513</v>
      </c>
      <c r="C63" s="40">
        <f t="shared" ref="C63:M63" si="15">+C30+C31+C32+C33+C34+C35+C36+C37+C38+C39</f>
        <v>476</v>
      </c>
      <c r="D63" s="40">
        <f t="shared" si="15"/>
        <v>642</v>
      </c>
      <c r="E63" s="40">
        <f t="shared" si="15"/>
        <v>629</v>
      </c>
      <c r="F63" s="40">
        <f t="shared" si="15"/>
        <v>495</v>
      </c>
      <c r="G63" s="40">
        <f t="shared" si="15"/>
        <v>658</v>
      </c>
      <c r="H63" s="40">
        <f t="shared" si="15"/>
        <v>688</v>
      </c>
      <c r="I63" s="40">
        <f t="shared" si="15"/>
        <v>734</v>
      </c>
      <c r="J63" s="40">
        <f t="shared" si="15"/>
        <v>571</v>
      </c>
      <c r="K63" s="40">
        <f t="shared" si="15"/>
        <v>612</v>
      </c>
      <c r="L63" s="40">
        <f t="shared" si="15"/>
        <v>547</v>
      </c>
      <c r="M63" s="40">
        <f t="shared" si="15"/>
        <v>421</v>
      </c>
      <c r="N63" s="40">
        <f t="shared" si="13"/>
        <v>6986</v>
      </c>
    </row>
    <row r="64" spans="1:15" x14ac:dyDescent="0.25">
      <c r="A64" s="33" t="s">
        <v>157</v>
      </c>
      <c r="B64" s="40">
        <f>+B9+B13+B17+B29</f>
        <v>1070</v>
      </c>
      <c r="C64" s="40">
        <f t="shared" ref="C64:M64" si="16">+C9+C13+C17+C29</f>
        <v>1375</v>
      </c>
      <c r="D64" s="40">
        <f t="shared" si="16"/>
        <v>1760</v>
      </c>
      <c r="E64" s="40">
        <f t="shared" si="16"/>
        <v>2050</v>
      </c>
      <c r="F64" s="40">
        <f t="shared" si="16"/>
        <v>2000</v>
      </c>
      <c r="G64" s="40">
        <f t="shared" si="16"/>
        <v>2275</v>
      </c>
      <c r="H64" s="40">
        <f t="shared" si="16"/>
        <v>1735</v>
      </c>
      <c r="I64" s="40">
        <f t="shared" si="16"/>
        <v>2025</v>
      </c>
      <c r="J64" s="40">
        <f t="shared" si="16"/>
        <v>2285</v>
      </c>
      <c r="K64" s="40">
        <f t="shared" si="16"/>
        <v>1405</v>
      </c>
      <c r="L64" s="40">
        <f t="shared" si="16"/>
        <v>1280</v>
      </c>
      <c r="M64" s="40">
        <f t="shared" si="16"/>
        <v>1620</v>
      </c>
      <c r="N64" s="40">
        <f t="shared" si="13"/>
        <v>20880</v>
      </c>
    </row>
    <row r="65" spans="1:14" x14ac:dyDescent="0.25">
      <c r="A65" s="33" t="s">
        <v>181</v>
      </c>
      <c r="B65" s="40">
        <f>+B18+B25</f>
        <v>3365</v>
      </c>
      <c r="C65" s="40">
        <f t="shared" ref="C65:M65" si="17">+C18+C25</f>
        <v>3533</v>
      </c>
      <c r="D65" s="40">
        <f t="shared" si="17"/>
        <v>4122</v>
      </c>
      <c r="E65" s="40">
        <f t="shared" si="17"/>
        <v>5109</v>
      </c>
      <c r="F65" s="40">
        <f t="shared" si="17"/>
        <v>6251</v>
      </c>
      <c r="G65" s="40">
        <f t="shared" si="17"/>
        <v>5880</v>
      </c>
      <c r="H65" s="40">
        <f t="shared" si="17"/>
        <v>9562</v>
      </c>
      <c r="I65" s="40">
        <f t="shared" si="17"/>
        <v>9710</v>
      </c>
      <c r="J65" s="40">
        <f t="shared" si="17"/>
        <v>6214</v>
      </c>
      <c r="K65" s="40">
        <f t="shared" si="17"/>
        <v>4473</v>
      </c>
      <c r="L65" s="40">
        <f t="shared" si="17"/>
        <v>4447</v>
      </c>
      <c r="M65" s="40">
        <f t="shared" si="17"/>
        <v>4233</v>
      </c>
      <c r="N65" s="40">
        <f t="shared" si="13"/>
        <v>66899</v>
      </c>
    </row>
    <row r="66" spans="1:14" x14ac:dyDescent="0.25">
      <c r="A66" s="33" t="s">
        <v>182</v>
      </c>
      <c r="B66" s="40">
        <f>+B16+B28</f>
        <v>33</v>
      </c>
      <c r="C66" s="40">
        <f t="shared" ref="C66:M66" si="18">+C16+C28</f>
        <v>39</v>
      </c>
      <c r="D66" s="40">
        <f t="shared" si="18"/>
        <v>50</v>
      </c>
      <c r="E66" s="40">
        <f t="shared" si="18"/>
        <v>106</v>
      </c>
      <c r="F66" s="40">
        <f t="shared" si="18"/>
        <v>170</v>
      </c>
      <c r="G66" s="40">
        <f t="shared" si="18"/>
        <v>217</v>
      </c>
      <c r="H66" s="40">
        <f t="shared" si="18"/>
        <v>450</v>
      </c>
      <c r="I66" s="40">
        <f t="shared" si="18"/>
        <v>427</v>
      </c>
      <c r="J66" s="40">
        <f t="shared" si="18"/>
        <v>303</v>
      </c>
      <c r="K66" s="40">
        <f t="shared" si="18"/>
        <v>68</v>
      </c>
      <c r="L66" s="40">
        <f t="shared" si="18"/>
        <v>41</v>
      </c>
      <c r="M66" s="40">
        <f t="shared" si="18"/>
        <v>26</v>
      </c>
      <c r="N66" s="40">
        <f t="shared" si="13"/>
        <v>1930</v>
      </c>
    </row>
  </sheetData>
  <phoneticPr fontId="12" type="noConversion"/>
  <pageMargins left="0.25" right="0.25" top="0.25" bottom="0.25" header="0" footer="0"/>
  <pageSetup scale="74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P66"/>
  <sheetViews>
    <sheetView workbookViewId="0">
      <pane xSplit="1" ySplit="3" topLeftCell="M35" activePane="bottomRight" state="frozen"/>
      <selection pane="topRight" activeCell="B1" sqref="B1"/>
      <selection pane="bottomLeft" activeCell="A4" sqref="A4"/>
      <selection pane="bottomRight" activeCell="M51" sqref="M51"/>
    </sheetView>
  </sheetViews>
  <sheetFormatPr defaultColWidth="9.75" defaultRowHeight="16.2" x14ac:dyDescent="0.25"/>
  <cols>
    <col min="1" max="1" width="31.4140625" style="32" customWidth="1"/>
    <col min="2" max="13" width="6.75" style="32" customWidth="1"/>
    <col min="14" max="16384" width="9.75" style="32"/>
  </cols>
  <sheetData>
    <row r="1" spans="1:16" ht="18.600000000000001" x14ac:dyDescent="0.25">
      <c r="A1" s="31" t="s">
        <v>95</v>
      </c>
    </row>
    <row r="3" spans="1:16" ht="16.8" x14ac:dyDescent="0.25">
      <c r="A3" s="33" t="s">
        <v>1</v>
      </c>
      <c r="B3" s="34" t="s">
        <v>29</v>
      </c>
      <c r="C3" s="34" t="s">
        <v>30</v>
      </c>
      <c r="D3" s="34" t="s">
        <v>31</v>
      </c>
      <c r="E3" s="34" t="s">
        <v>32</v>
      </c>
      <c r="F3" s="34" t="s">
        <v>33</v>
      </c>
      <c r="G3" s="34" t="s">
        <v>34</v>
      </c>
      <c r="H3" s="34" t="s">
        <v>35</v>
      </c>
      <c r="I3" s="34" t="s">
        <v>36</v>
      </c>
      <c r="J3" s="34" t="s">
        <v>37</v>
      </c>
      <c r="K3" s="34" t="s">
        <v>38</v>
      </c>
      <c r="L3" s="34" t="s">
        <v>39</v>
      </c>
      <c r="M3" s="34" t="s">
        <v>40</v>
      </c>
      <c r="N3" s="35" t="s">
        <v>41</v>
      </c>
      <c r="O3" s="45"/>
      <c r="P3" s="36"/>
    </row>
    <row r="4" spans="1:16" x14ac:dyDescent="0.25">
      <c r="A4" s="33" t="s">
        <v>56</v>
      </c>
      <c r="B4" s="37">
        <v>600</v>
      </c>
      <c r="C4" s="37">
        <v>360</v>
      </c>
      <c r="D4" s="37">
        <v>530</v>
      </c>
      <c r="E4" s="37">
        <v>380</v>
      </c>
      <c r="F4" s="37">
        <v>330</v>
      </c>
      <c r="G4" s="37">
        <v>410</v>
      </c>
      <c r="H4" s="37">
        <v>360</v>
      </c>
      <c r="I4" s="37">
        <v>190</v>
      </c>
      <c r="J4" s="37">
        <v>300</v>
      </c>
      <c r="K4" s="37">
        <v>280</v>
      </c>
      <c r="L4" s="37">
        <v>300</v>
      </c>
      <c r="M4" s="37">
        <v>320</v>
      </c>
      <c r="N4" s="37">
        <f t="shared" ref="N4:N42" si="0">SUM(B4:M4)</f>
        <v>4360</v>
      </c>
      <c r="O4" s="46">
        <f>SUM(H4:M4)</f>
        <v>1750</v>
      </c>
      <c r="P4" s="36">
        <v>67</v>
      </c>
    </row>
    <row r="5" spans="1:16" x14ac:dyDescent="0.25">
      <c r="A5" s="33" t="s">
        <v>58</v>
      </c>
      <c r="B5" s="37"/>
      <c r="C5" s="37"/>
      <c r="D5" s="37"/>
      <c r="E5" s="37"/>
      <c r="F5" s="37"/>
      <c r="G5" s="37"/>
      <c r="H5" s="37"/>
      <c r="I5" s="37"/>
      <c r="J5" s="37">
        <v>20</v>
      </c>
      <c r="K5" s="37"/>
      <c r="L5" s="37"/>
      <c r="M5" s="37"/>
      <c r="N5" s="37">
        <f t="shared" si="0"/>
        <v>20</v>
      </c>
      <c r="O5" s="46">
        <f t="shared" ref="O5:O42" si="1">SUM(H5:M5)</f>
        <v>20</v>
      </c>
      <c r="P5" s="36">
        <v>38</v>
      </c>
    </row>
    <row r="6" spans="1:16" x14ac:dyDescent="0.25">
      <c r="A6" s="33" t="s">
        <v>57</v>
      </c>
      <c r="B6" s="37">
        <v>1100</v>
      </c>
      <c r="C6" s="37">
        <v>940</v>
      </c>
      <c r="D6" s="37">
        <v>960</v>
      </c>
      <c r="E6" s="37">
        <v>640</v>
      </c>
      <c r="F6" s="37">
        <v>900</v>
      </c>
      <c r="G6" s="37">
        <v>820</v>
      </c>
      <c r="H6" s="37">
        <v>680</v>
      </c>
      <c r="I6" s="37">
        <v>640</v>
      </c>
      <c r="J6" s="37">
        <v>660</v>
      </c>
      <c r="K6" s="37">
        <v>560</v>
      </c>
      <c r="L6" s="37">
        <v>640</v>
      </c>
      <c r="M6" s="37">
        <v>580</v>
      </c>
      <c r="N6" s="37">
        <f t="shared" si="0"/>
        <v>9120</v>
      </c>
      <c r="O6" s="46">
        <f t="shared" si="1"/>
        <v>3760</v>
      </c>
      <c r="P6" s="36">
        <v>126</v>
      </c>
    </row>
    <row r="7" spans="1:16" x14ac:dyDescent="0.25">
      <c r="A7" s="33" t="s">
        <v>59</v>
      </c>
      <c r="B7" s="37"/>
      <c r="C7" s="37"/>
      <c r="D7" s="37"/>
      <c r="E7" s="37"/>
      <c r="F7" s="37"/>
      <c r="G7" s="37"/>
      <c r="H7" s="37">
        <v>20</v>
      </c>
      <c r="I7" s="37"/>
      <c r="J7" s="37"/>
      <c r="K7" s="37"/>
      <c r="L7" s="37"/>
      <c r="M7" s="37"/>
      <c r="N7" s="37">
        <f t="shared" si="0"/>
        <v>20</v>
      </c>
      <c r="O7" s="46">
        <f t="shared" si="1"/>
        <v>20</v>
      </c>
      <c r="P7" s="36">
        <v>72</v>
      </c>
    </row>
    <row r="8" spans="1:16" x14ac:dyDescent="0.25">
      <c r="A8" s="33" t="s">
        <v>79</v>
      </c>
      <c r="B8" s="37">
        <v>420</v>
      </c>
      <c r="C8" s="37"/>
      <c r="D8" s="37">
        <v>240</v>
      </c>
      <c r="E8" s="37">
        <v>180</v>
      </c>
      <c r="F8" s="37">
        <v>120</v>
      </c>
      <c r="G8" s="37">
        <v>300</v>
      </c>
      <c r="H8" s="37">
        <v>180</v>
      </c>
      <c r="I8" s="37">
        <v>60</v>
      </c>
      <c r="J8" s="37">
        <v>540</v>
      </c>
      <c r="K8" s="37">
        <v>360</v>
      </c>
      <c r="L8" s="37">
        <v>60</v>
      </c>
      <c r="M8" s="37">
        <v>420</v>
      </c>
      <c r="N8" s="37">
        <f t="shared" si="0"/>
        <v>2880</v>
      </c>
      <c r="O8" s="46">
        <f t="shared" si="1"/>
        <v>1620</v>
      </c>
      <c r="P8" s="36">
        <v>672</v>
      </c>
    </row>
    <row r="9" spans="1:16" x14ac:dyDescent="0.25">
      <c r="A9" s="33" t="s">
        <v>80</v>
      </c>
      <c r="B9" s="37">
        <v>240</v>
      </c>
      <c r="C9" s="37">
        <v>180</v>
      </c>
      <c r="D9" s="37">
        <v>420</v>
      </c>
      <c r="E9" s="37">
        <v>360</v>
      </c>
      <c r="F9" s="37">
        <v>180</v>
      </c>
      <c r="G9" s="37">
        <v>420</v>
      </c>
      <c r="H9" s="37">
        <v>360</v>
      </c>
      <c r="I9" s="37">
        <v>300</v>
      </c>
      <c r="J9" s="37">
        <v>240</v>
      </c>
      <c r="K9" s="37">
        <v>420</v>
      </c>
      <c r="L9" s="37">
        <v>240</v>
      </c>
      <c r="M9" s="37">
        <v>300</v>
      </c>
      <c r="N9" s="37">
        <f t="shared" si="0"/>
        <v>3660</v>
      </c>
      <c r="O9" s="46">
        <f t="shared" si="1"/>
        <v>1860</v>
      </c>
      <c r="P9" s="36">
        <v>102</v>
      </c>
    </row>
    <row r="10" spans="1:16" x14ac:dyDescent="0.25">
      <c r="A10" s="33" t="s">
        <v>81</v>
      </c>
      <c r="B10" s="37">
        <v>270</v>
      </c>
      <c r="C10" s="37">
        <v>120</v>
      </c>
      <c r="D10" s="37">
        <v>240</v>
      </c>
      <c r="E10" s="37">
        <v>240</v>
      </c>
      <c r="F10" s="37">
        <v>120</v>
      </c>
      <c r="G10" s="37">
        <v>300</v>
      </c>
      <c r="H10" s="37">
        <v>60</v>
      </c>
      <c r="I10" s="37">
        <v>60</v>
      </c>
      <c r="J10" s="37">
        <v>240</v>
      </c>
      <c r="K10" s="37">
        <v>180</v>
      </c>
      <c r="L10" s="37"/>
      <c r="M10" s="37">
        <v>300</v>
      </c>
      <c r="N10" s="37">
        <f t="shared" si="0"/>
        <v>2130</v>
      </c>
      <c r="O10" s="46">
        <f t="shared" si="1"/>
        <v>840</v>
      </c>
      <c r="P10" s="36">
        <v>210</v>
      </c>
    </row>
    <row r="11" spans="1:16" x14ac:dyDescent="0.25">
      <c r="A11" s="33" t="s">
        <v>92</v>
      </c>
      <c r="B11" s="37"/>
      <c r="C11" s="37"/>
      <c r="D11" s="37"/>
      <c r="E11" s="37"/>
      <c r="F11" s="37"/>
      <c r="G11" s="37">
        <v>60</v>
      </c>
      <c r="H11" s="37"/>
      <c r="I11" s="37"/>
      <c r="J11" s="37">
        <v>60</v>
      </c>
      <c r="K11" s="37"/>
      <c r="L11" s="37"/>
      <c r="M11" s="37"/>
      <c r="N11" s="37">
        <f t="shared" si="0"/>
        <v>120</v>
      </c>
      <c r="O11" s="46">
        <f t="shared" si="1"/>
        <v>60</v>
      </c>
      <c r="P11" s="36">
        <v>204</v>
      </c>
    </row>
    <row r="12" spans="1:16" x14ac:dyDescent="0.25">
      <c r="A12" s="33" t="s">
        <v>82</v>
      </c>
      <c r="B12" s="37">
        <v>120</v>
      </c>
      <c r="C12" s="37"/>
      <c r="D12" s="37">
        <v>120</v>
      </c>
      <c r="E12" s="37">
        <v>120</v>
      </c>
      <c r="F12" s="37"/>
      <c r="G12" s="37">
        <v>960</v>
      </c>
      <c r="H12" s="37">
        <v>360</v>
      </c>
      <c r="I12" s="37">
        <v>240</v>
      </c>
      <c r="J12" s="37">
        <v>360</v>
      </c>
      <c r="K12" s="37"/>
      <c r="L12" s="37">
        <v>120</v>
      </c>
      <c r="M12" s="37">
        <v>600</v>
      </c>
      <c r="N12" s="37">
        <f t="shared" si="0"/>
        <v>3000</v>
      </c>
      <c r="O12" s="46">
        <f t="shared" si="1"/>
        <v>1680</v>
      </c>
      <c r="P12" s="36">
        <v>672</v>
      </c>
    </row>
    <row r="13" spans="1:16" x14ac:dyDescent="0.25">
      <c r="A13" s="33" t="s">
        <v>83</v>
      </c>
      <c r="B13" s="37"/>
      <c r="C13" s="37">
        <v>360</v>
      </c>
      <c r="D13" s="37"/>
      <c r="E13" s="37"/>
      <c r="F13" s="37">
        <v>120</v>
      </c>
      <c r="G13" s="37">
        <v>840</v>
      </c>
      <c r="H13" s="37"/>
      <c r="I13" s="37">
        <v>360</v>
      </c>
      <c r="J13" s="37"/>
      <c r="K13" s="37">
        <v>360</v>
      </c>
      <c r="L13" s="37">
        <v>120</v>
      </c>
      <c r="M13" s="37">
        <v>960</v>
      </c>
      <c r="N13" s="37">
        <f t="shared" si="0"/>
        <v>3120</v>
      </c>
      <c r="O13" s="46">
        <f t="shared" si="1"/>
        <v>1800</v>
      </c>
      <c r="P13" s="36">
        <v>192</v>
      </c>
    </row>
    <row r="14" spans="1:16" x14ac:dyDescent="0.25">
      <c r="A14" s="33" t="s">
        <v>84</v>
      </c>
      <c r="B14" s="37"/>
      <c r="C14" s="37"/>
      <c r="D14" s="37"/>
      <c r="E14" s="37">
        <v>240</v>
      </c>
      <c r="F14" s="37"/>
      <c r="G14" s="37"/>
      <c r="H14" s="37">
        <v>120</v>
      </c>
      <c r="I14" s="37"/>
      <c r="J14" s="37"/>
      <c r="K14" s="37">
        <v>120</v>
      </c>
      <c r="L14" s="37">
        <v>120</v>
      </c>
      <c r="M14" s="37"/>
      <c r="N14" s="37">
        <f t="shared" si="0"/>
        <v>600</v>
      </c>
      <c r="O14" s="46">
        <f t="shared" si="1"/>
        <v>360</v>
      </c>
      <c r="P14" s="36">
        <v>420</v>
      </c>
    </row>
    <row r="15" spans="1:16" x14ac:dyDescent="0.25">
      <c r="A15" s="33" t="s">
        <v>93</v>
      </c>
      <c r="B15" s="37"/>
      <c r="C15" s="37"/>
      <c r="D15" s="37"/>
      <c r="E15" s="37"/>
      <c r="F15" s="37"/>
      <c r="G15" s="37">
        <v>120</v>
      </c>
      <c r="H15" s="37"/>
      <c r="I15" s="37"/>
      <c r="J15" s="37"/>
      <c r="K15" s="37"/>
      <c r="L15" s="37"/>
      <c r="M15" s="37">
        <v>120</v>
      </c>
      <c r="N15" s="37">
        <f t="shared" si="0"/>
        <v>240</v>
      </c>
      <c r="O15" s="46">
        <f t="shared" si="1"/>
        <v>120</v>
      </c>
      <c r="P15" s="36">
        <v>384</v>
      </c>
    </row>
    <row r="16" spans="1:16" x14ac:dyDescent="0.25">
      <c r="A16" s="33" t="s">
        <v>60</v>
      </c>
      <c r="B16" s="37">
        <v>2650</v>
      </c>
      <c r="C16" s="37">
        <v>1575</v>
      </c>
      <c r="D16" s="37">
        <v>1375</v>
      </c>
      <c r="E16" s="37">
        <v>1000</v>
      </c>
      <c r="F16" s="37">
        <v>1200</v>
      </c>
      <c r="G16" s="37">
        <v>1400</v>
      </c>
      <c r="H16" s="37">
        <v>1400</v>
      </c>
      <c r="I16" s="37">
        <v>1225</v>
      </c>
      <c r="J16" s="37">
        <v>1075</v>
      </c>
      <c r="K16" s="37">
        <v>1100</v>
      </c>
      <c r="L16" s="37">
        <v>775</v>
      </c>
      <c r="M16" s="37">
        <v>925</v>
      </c>
      <c r="N16" s="37">
        <f t="shared" si="0"/>
        <v>15700</v>
      </c>
      <c r="O16" s="46">
        <f t="shared" si="1"/>
        <v>6500</v>
      </c>
      <c r="P16" s="36">
        <v>45</v>
      </c>
    </row>
    <row r="17" spans="1:16" x14ac:dyDescent="0.25">
      <c r="A17" s="33" t="s">
        <v>5</v>
      </c>
      <c r="B17" s="37">
        <v>2517</v>
      </c>
      <c r="C17" s="37">
        <v>2438</v>
      </c>
      <c r="D17" s="37">
        <v>2688</v>
      </c>
      <c r="E17" s="37">
        <v>2839</v>
      </c>
      <c r="F17" s="37">
        <v>3478</v>
      </c>
      <c r="G17" s="37">
        <v>3826</v>
      </c>
      <c r="H17" s="37">
        <v>5896</v>
      </c>
      <c r="I17" s="37">
        <v>6246</v>
      </c>
      <c r="J17" s="37">
        <v>4168</v>
      </c>
      <c r="K17" s="37">
        <v>3391</v>
      </c>
      <c r="L17" s="37">
        <v>2858</v>
      </c>
      <c r="M17" s="37">
        <v>3221</v>
      </c>
      <c r="N17" s="37">
        <f t="shared" si="0"/>
        <v>43566</v>
      </c>
      <c r="O17" s="46">
        <f t="shared" si="1"/>
        <v>25780</v>
      </c>
      <c r="P17" s="36">
        <v>2</v>
      </c>
    </row>
    <row r="18" spans="1:16" x14ac:dyDescent="0.25">
      <c r="A18" s="33" t="s">
        <v>61</v>
      </c>
      <c r="B18" s="37">
        <v>41</v>
      </c>
      <c r="C18" s="37">
        <v>60</v>
      </c>
      <c r="D18" s="37">
        <v>85</v>
      </c>
      <c r="E18" s="37">
        <v>81</v>
      </c>
      <c r="F18" s="37">
        <v>113</v>
      </c>
      <c r="G18" s="37">
        <v>164</v>
      </c>
      <c r="H18" s="37">
        <v>351</v>
      </c>
      <c r="I18" s="37">
        <v>367</v>
      </c>
      <c r="J18" s="37">
        <v>246</v>
      </c>
      <c r="K18" s="37">
        <v>87</v>
      </c>
      <c r="L18" s="37">
        <v>24</v>
      </c>
      <c r="M18" s="37">
        <v>20</v>
      </c>
      <c r="N18" s="37">
        <f t="shared" si="0"/>
        <v>1639</v>
      </c>
      <c r="O18" s="46">
        <f t="shared" si="1"/>
        <v>1095</v>
      </c>
      <c r="P18" s="36">
        <v>1</v>
      </c>
    </row>
    <row r="19" spans="1:16" x14ac:dyDescent="0.25">
      <c r="A19" s="33" t="s">
        <v>75</v>
      </c>
      <c r="B19" s="37">
        <v>2295</v>
      </c>
      <c r="C19" s="37">
        <v>2472</v>
      </c>
      <c r="D19" s="37">
        <v>2790</v>
      </c>
      <c r="E19" s="37">
        <v>3135</v>
      </c>
      <c r="F19" s="37">
        <v>3810</v>
      </c>
      <c r="G19" s="37">
        <v>3782</v>
      </c>
      <c r="H19" s="37">
        <v>4831</v>
      </c>
      <c r="I19" s="37">
        <v>5020</v>
      </c>
      <c r="J19" s="37">
        <v>4198</v>
      </c>
      <c r="K19" s="37">
        <v>3693</v>
      </c>
      <c r="L19" s="37">
        <v>3292</v>
      </c>
      <c r="M19" s="37">
        <v>3850</v>
      </c>
      <c r="N19" s="37">
        <f t="shared" si="0"/>
        <v>43168</v>
      </c>
      <c r="O19" s="46">
        <f t="shared" si="1"/>
        <v>24884</v>
      </c>
      <c r="P19" s="36">
        <v>7</v>
      </c>
    </row>
    <row r="20" spans="1:16" x14ac:dyDescent="0.25">
      <c r="A20" s="33" t="s">
        <v>62</v>
      </c>
      <c r="B20" s="37">
        <v>13</v>
      </c>
      <c r="C20" s="37">
        <v>8</v>
      </c>
      <c r="D20" s="37">
        <v>9</v>
      </c>
      <c r="E20" s="37">
        <v>10</v>
      </c>
      <c r="F20" s="37">
        <v>10</v>
      </c>
      <c r="G20" s="37">
        <v>14</v>
      </c>
      <c r="H20" s="37">
        <v>7</v>
      </c>
      <c r="I20" s="37">
        <v>8</v>
      </c>
      <c r="J20" s="37">
        <v>6</v>
      </c>
      <c r="K20" s="37">
        <v>5</v>
      </c>
      <c r="L20" s="38">
        <v>8</v>
      </c>
      <c r="M20" s="38">
        <v>9</v>
      </c>
      <c r="N20" s="37">
        <f t="shared" si="0"/>
        <v>107</v>
      </c>
      <c r="O20" s="46">
        <f t="shared" si="1"/>
        <v>43</v>
      </c>
      <c r="P20" s="36"/>
    </row>
    <row r="21" spans="1:16" x14ac:dyDescent="0.25">
      <c r="A21" s="33" t="s">
        <v>63</v>
      </c>
      <c r="B21" s="37">
        <v>6</v>
      </c>
      <c r="C21" s="37">
        <v>6</v>
      </c>
      <c r="D21" s="37">
        <v>12</v>
      </c>
      <c r="E21" s="37">
        <v>27</v>
      </c>
      <c r="F21" s="37">
        <v>54</v>
      </c>
      <c r="G21" s="37">
        <v>68</v>
      </c>
      <c r="H21" s="37">
        <v>121</v>
      </c>
      <c r="I21" s="37">
        <v>103</v>
      </c>
      <c r="J21" s="37">
        <v>131</v>
      </c>
      <c r="K21" s="37">
        <v>52</v>
      </c>
      <c r="L21" s="37">
        <v>4</v>
      </c>
      <c r="M21" s="37">
        <v>10</v>
      </c>
      <c r="N21" s="37">
        <f t="shared" si="0"/>
        <v>594</v>
      </c>
      <c r="O21" s="46">
        <f t="shared" si="1"/>
        <v>421</v>
      </c>
      <c r="P21" s="36">
        <v>4</v>
      </c>
    </row>
    <row r="22" spans="1:16" x14ac:dyDescent="0.25">
      <c r="A22" s="33" t="s">
        <v>94</v>
      </c>
      <c r="B22" s="37"/>
      <c r="C22" s="37"/>
      <c r="D22" s="37"/>
      <c r="E22" s="37"/>
      <c r="F22" s="37"/>
      <c r="G22" s="37"/>
      <c r="H22" s="37"/>
      <c r="I22" s="37">
        <v>1</v>
      </c>
      <c r="J22" s="37"/>
      <c r="K22" s="37"/>
      <c r="L22" s="37"/>
      <c r="M22" s="37"/>
      <c r="N22" s="37">
        <f t="shared" si="0"/>
        <v>1</v>
      </c>
      <c r="O22" s="46">
        <f t="shared" si="1"/>
        <v>1</v>
      </c>
      <c r="P22" s="36">
        <v>7</v>
      </c>
    </row>
    <row r="23" spans="1:16" x14ac:dyDescent="0.25">
      <c r="A23" s="33" t="s">
        <v>11</v>
      </c>
      <c r="B23" s="37">
        <v>21</v>
      </c>
      <c r="C23" s="37">
        <v>17</v>
      </c>
      <c r="D23" s="37">
        <v>23</v>
      </c>
      <c r="E23" s="37">
        <v>15</v>
      </c>
      <c r="F23" s="37">
        <v>21</v>
      </c>
      <c r="G23" s="37">
        <v>10</v>
      </c>
      <c r="H23" s="37"/>
      <c r="I23" s="37"/>
      <c r="J23" s="37">
        <v>19</v>
      </c>
      <c r="K23" s="37">
        <v>21</v>
      </c>
      <c r="L23" s="37">
        <v>21</v>
      </c>
      <c r="M23" s="37">
        <v>13</v>
      </c>
      <c r="N23" s="37">
        <f t="shared" si="0"/>
        <v>181</v>
      </c>
      <c r="O23" s="46">
        <f t="shared" si="1"/>
        <v>74</v>
      </c>
      <c r="P23" s="36"/>
    </row>
    <row r="24" spans="1:16" x14ac:dyDescent="0.25">
      <c r="A24" s="33" t="s">
        <v>12</v>
      </c>
      <c r="B24" s="37">
        <v>2</v>
      </c>
      <c r="C24" s="37">
        <v>19</v>
      </c>
      <c r="D24" s="37">
        <v>15</v>
      </c>
      <c r="E24" s="37">
        <v>16</v>
      </c>
      <c r="F24" s="37">
        <v>3</v>
      </c>
      <c r="G24" s="37">
        <v>30</v>
      </c>
      <c r="H24" s="37">
        <v>15</v>
      </c>
      <c r="I24" s="37">
        <v>33</v>
      </c>
      <c r="J24" s="37">
        <v>35</v>
      </c>
      <c r="K24" s="37">
        <v>24</v>
      </c>
      <c r="L24" s="37">
        <v>16</v>
      </c>
      <c r="M24" s="37">
        <v>14</v>
      </c>
      <c r="N24" s="37">
        <f t="shared" si="0"/>
        <v>222</v>
      </c>
      <c r="O24" s="46">
        <f t="shared" si="1"/>
        <v>137</v>
      </c>
      <c r="P24" s="36">
        <v>3.75</v>
      </c>
    </row>
    <row r="25" spans="1:16" x14ac:dyDescent="0.25">
      <c r="A25" s="33" t="s">
        <v>90</v>
      </c>
      <c r="B25" s="37">
        <f>848+4</f>
        <v>852</v>
      </c>
      <c r="C25" s="37">
        <v>836</v>
      </c>
      <c r="D25" s="37">
        <v>1013</v>
      </c>
      <c r="E25" s="37">
        <v>1310</v>
      </c>
      <c r="F25" s="37">
        <v>1543</v>
      </c>
      <c r="G25" s="37">
        <v>1795</v>
      </c>
      <c r="H25" s="37">
        <v>3137</v>
      </c>
      <c r="I25" s="37">
        <v>3422</v>
      </c>
      <c r="J25" s="37">
        <v>1653</v>
      </c>
      <c r="K25" s="37">
        <v>1198</v>
      </c>
      <c r="L25" s="37">
        <v>1121</v>
      </c>
      <c r="M25" s="37">
        <v>1369</v>
      </c>
      <c r="N25" s="37">
        <f t="shared" si="0"/>
        <v>19249</v>
      </c>
      <c r="O25" s="46">
        <f t="shared" si="1"/>
        <v>11900</v>
      </c>
      <c r="P25" s="36">
        <v>1</v>
      </c>
    </row>
    <row r="26" spans="1:16" x14ac:dyDescent="0.25">
      <c r="A26" s="33" t="s">
        <v>76</v>
      </c>
      <c r="B26" s="37">
        <v>1323</v>
      </c>
      <c r="C26" s="37">
        <v>1284</v>
      </c>
      <c r="D26" s="37">
        <v>1515</v>
      </c>
      <c r="E26" s="37">
        <v>1671</v>
      </c>
      <c r="F26" s="37">
        <v>1939</v>
      </c>
      <c r="G26" s="37">
        <v>1923</v>
      </c>
      <c r="H26" s="37">
        <v>2098</v>
      </c>
      <c r="I26" s="37">
        <v>2265</v>
      </c>
      <c r="J26" s="37">
        <v>2007</v>
      </c>
      <c r="K26" s="37">
        <v>1894</v>
      </c>
      <c r="L26" s="37">
        <v>1556</v>
      </c>
      <c r="M26" s="37">
        <v>1741</v>
      </c>
      <c r="N26" s="37">
        <f t="shared" si="0"/>
        <v>21216</v>
      </c>
      <c r="O26" s="46">
        <f t="shared" si="1"/>
        <v>11561</v>
      </c>
      <c r="P26" s="36">
        <v>3.5</v>
      </c>
    </row>
    <row r="27" spans="1:16" x14ac:dyDescent="0.25">
      <c r="A27" s="33" t="s">
        <v>88</v>
      </c>
      <c r="B27" s="37">
        <v>8</v>
      </c>
      <c r="C27" s="37">
        <v>8</v>
      </c>
      <c r="D27" s="37">
        <v>10</v>
      </c>
      <c r="E27" s="37">
        <v>17</v>
      </c>
      <c r="F27" s="37">
        <v>33</v>
      </c>
      <c r="G27" s="37">
        <v>50</v>
      </c>
      <c r="H27" s="37">
        <v>66</v>
      </c>
      <c r="I27" s="37">
        <v>91</v>
      </c>
      <c r="J27" s="37">
        <v>68</v>
      </c>
      <c r="K27" s="37">
        <v>18</v>
      </c>
      <c r="L27" s="37">
        <v>4</v>
      </c>
      <c r="M27" s="37">
        <v>5</v>
      </c>
      <c r="N27" s="37">
        <f t="shared" si="0"/>
        <v>378</v>
      </c>
      <c r="O27" s="46">
        <f t="shared" si="1"/>
        <v>252</v>
      </c>
      <c r="P27" s="36">
        <v>2</v>
      </c>
    </row>
    <row r="28" spans="1:16" x14ac:dyDescent="0.25">
      <c r="A28" s="33" t="s">
        <v>15</v>
      </c>
      <c r="B28" s="37">
        <v>500</v>
      </c>
      <c r="C28" s="37">
        <v>175</v>
      </c>
      <c r="D28" s="37">
        <v>100</v>
      </c>
      <c r="E28" s="37">
        <v>50</v>
      </c>
      <c r="F28" s="37">
        <v>250</v>
      </c>
      <c r="G28" s="37">
        <v>200</v>
      </c>
      <c r="H28" s="37">
        <v>375</v>
      </c>
      <c r="I28" s="37">
        <v>300</v>
      </c>
      <c r="J28" s="37">
        <v>25</v>
      </c>
      <c r="K28" s="37">
        <v>200</v>
      </c>
      <c r="L28" s="37">
        <v>50</v>
      </c>
      <c r="M28" s="37">
        <v>75</v>
      </c>
      <c r="N28" s="37">
        <f t="shared" si="0"/>
        <v>2300</v>
      </c>
      <c r="O28" s="46">
        <f t="shared" si="1"/>
        <v>1025</v>
      </c>
      <c r="P28" s="36">
        <v>23</v>
      </c>
    </row>
    <row r="29" spans="1:16" x14ac:dyDescent="0.25">
      <c r="A29" s="33" t="s">
        <v>89</v>
      </c>
      <c r="B29" s="37"/>
      <c r="C29" s="37">
        <v>1</v>
      </c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>
        <f t="shared" si="0"/>
        <v>1</v>
      </c>
      <c r="O29" s="46">
        <f t="shared" si="1"/>
        <v>0</v>
      </c>
      <c r="P29" s="36"/>
    </row>
    <row r="30" spans="1:16" x14ac:dyDescent="0.25">
      <c r="A30" s="33" t="s">
        <v>65</v>
      </c>
      <c r="B30" s="37">
        <v>175</v>
      </c>
      <c r="C30" s="37">
        <v>207</v>
      </c>
      <c r="D30" s="37">
        <v>232</v>
      </c>
      <c r="E30" s="37">
        <v>266</v>
      </c>
      <c r="F30" s="37">
        <v>352</v>
      </c>
      <c r="G30" s="37">
        <v>318</v>
      </c>
      <c r="H30" s="37">
        <v>343</v>
      </c>
      <c r="I30" s="37">
        <v>376</v>
      </c>
      <c r="J30" s="37">
        <v>346</v>
      </c>
      <c r="K30" s="37">
        <v>341</v>
      </c>
      <c r="L30" s="37">
        <v>311</v>
      </c>
      <c r="M30" s="37">
        <v>319</v>
      </c>
      <c r="N30" s="37">
        <f t="shared" si="0"/>
        <v>3586</v>
      </c>
      <c r="O30" s="46">
        <f t="shared" si="1"/>
        <v>2036</v>
      </c>
      <c r="P30" s="36">
        <v>9</v>
      </c>
    </row>
    <row r="31" spans="1:16" x14ac:dyDescent="0.25">
      <c r="A31" s="33" t="s">
        <v>66</v>
      </c>
      <c r="B31" s="37">
        <v>112</v>
      </c>
      <c r="C31" s="37">
        <v>85</v>
      </c>
      <c r="D31" s="37">
        <v>81</v>
      </c>
      <c r="E31" s="37">
        <v>127</v>
      </c>
      <c r="F31" s="37">
        <v>167</v>
      </c>
      <c r="G31" s="37">
        <v>156</v>
      </c>
      <c r="H31" s="37">
        <v>94</v>
      </c>
      <c r="I31" s="37">
        <v>117</v>
      </c>
      <c r="J31" s="37">
        <v>143</v>
      </c>
      <c r="K31" s="37">
        <v>208</v>
      </c>
      <c r="L31" s="37">
        <v>90</v>
      </c>
      <c r="M31" s="37">
        <v>126</v>
      </c>
      <c r="N31" s="37">
        <f t="shared" si="0"/>
        <v>1506</v>
      </c>
      <c r="O31" s="46">
        <f t="shared" si="1"/>
        <v>778</v>
      </c>
      <c r="P31" s="36">
        <v>14</v>
      </c>
    </row>
    <row r="32" spans="1:16" x14ac:dyDescent="0.25">
      <c r="A32" s="33" t="s">
        <v>67</v>
      </c>
      <c r="B32" s="37">
        <v>32</v>
      </c>
      <c r="C32" s="37">
        <v>39</v>
      </c>
      <c r="D32" s="37">
        <v>43</v>
      </c>
      <c r="E32" s="37">
        <v>58</v>
      </c>
      <c r="F32" s="37">
        <v>69</v>
      </c>
      <c r="G32" s="37">
        <v>69</v>
      </c>
      <c r="H32" s="37">
        <v>65</v>
      </c>
      <c r="I32" s="37">
        <v>85</v>
      </c>
      <c r="J32" s="37">
        <v>52</v>
      </c>
      <c r="K32" s="37">
        <v>68</v>
      </c>
      <c r="L32" s="37">
        <v>45</v>
      </c>
      <c r="M32" s="37">
        <v>45</v>
      </c>
      <c r="N32" s="37">
        <f t="shared" si="0"/>
        <v>670</v>
      </c>
      <c r="O32" s="46">
        <f t="shared" si="1"/>
        <v>360</v>
      </c>
      <c r="P32" s="36">
        <v>19</v>
      </c>
    </row>
    <row r="33" spans="1:16" x14ac:dyDescent="0.25">
      <c r="A33" s="33" t="s">
        <v>68</v>
      </c>
      <c r="B33" s="37">
        <v>49</v>
      </c>
      <c r="C33" s="37">
        <v>40</v>
      </c>
      <c r="D33" s="37">
        <v>51</v>
      </c>
      <c r="E33" s="37">
        <v>55</v>
      </c>
      <c r="F33" s="37">
        <v>76</v>
      </c>
      <c r="G33" s="37">
        <v>86</v>
      </c>
      <c r="H33" s="37">
        <v>108</v>
      </c>
      <c r="I33" s="37">
        <v>85</v>
      </c>
      <c r="J33" s="37">
        <v>77</v>
      </c>
      <c r="K33" s="37">
        <v>60</v>
      </c>
      <c r="L33" s="37">
        <v>29</v>
      </c>
      <c r="M33" s="37">
        <v>42</v>
      </c>
      <c r="N33" s="37">
        <f t="shared" si="0"/>
        <v>758</v>
      </c>
      <c r="O33" s="46">
        <f t="shared" si="1"/>
        <v>401</v>
      </c>
      <c r="P33" s="36">
        <v>25</v>
      </c>
    </row>
    <row r="34" spans="1:16" x14ac:dyDescent="0.25">
      <c r="A34" s="33" t="s">
        <v>69</v>
      </c>
      <c r="B34" s="37">
        <v>20</v>
      </c>
      <c r="C34" s="37">
        <v>19</v>
      </c>
      <c r="D34" s="37">
        <v>19</v>
      </c>
      <c r="E34" s="37">
        <v>20</v>
      </c>
      <c r="F34" s="37">
        <v>17</v>
      </c>
      <c r="G34" s="37">
        <v>33</v>
      </c>
      <c r="H34" s="37">
        <v>43</v>
      </c>
      <c r="I34" s="37">
        <v>37</v>
      </c>
      <c r="J34" s="37">
        <v>23</v>
      </c>
      <c r="K34" s="37">
        <v>21</v>
      </c>
      <c r="L34" s="37">
        <v>15</v>
      </c>
      <c r="M34" s="37">
        <v>13</v>
      </c>
      <c r="N34" s="37">
        <f t="shared" si="0"/>
        <v>280</v>
      </c>
      <c r="O34" s="46">
        <f t="shared" si="1"/>
        <v>152</v>
      </c>
      <c r="P34" s="36">
        <v>32</v>
      </c>
    </row>
    <row r="35" spans="1:16" x14ac:dyDescent="0.25">
      <c r="A35" s="33" t="s">
        <v>70</v>
      </c>
      <c r="B35" s="37">
        <v>2</v>
      </c>
      <c r="C35" s="37">
        <v>10</v>
      </c>
      <c r="D35" s="37">
        <v>4</v>
      </c>
      <c r="E35" s="37">
        <v>6</v>
      </c>
      <c r="F35" s="37">
        <v>10</v>
      </c>
      <c r="G35" s="37">
        <v>15</v>
      </c>
      <c r="H35" s="37">
        <v>16</v>
      </c>
      <c r="I35" s="37">
        <v>15</v>
      </c>
      <c r="J35" s="37">
        <v>15</v>
      </c>
      <c r="K35" s="37">
        <v>7</v>
      </c>
      <c r="L35" s="37">
        <v>6</v>
      </c>
      <c r="M35" s="37">
        <v>12</v>
      </c>
      <c r="N35" s="37">
        <f t="shared" si="0"/>
        <v>118</v>
      </c>
      <c r="O35" s="46">
        <f t="shared" si="1"/>
        <v>71</v>
      </c>
      <c r="P35" s="36">
        <v>40</v>
      </c>
    </row>
    <row r="36" spans="1:16" x14ac:dyDescent="0.25">
      <c r="A36" s="33" t="s">
        <v>71</v>
      </c>
      <c r="B36" s="37">
        <v>5</v>
      </c>
      <c r="C36" s="37">
        <v>3</v>
      </c>
      <c r="D36" s="37">
        <v>1</v>
      </c>
      <c r="E36" s="37">
        <v>7</v>
      </c>
      <c r="F36" s="37">
        <v>7</v>
      </c>
      <c r="G36" s="37">
        <v>3</v>
      </c>
      <c r="H36" s="37">
        <v>5</v>
      </c>
      <c r="I36" s="37">
        <v>7</v>
      </c>
      <c r="J36" s="37">
        <v>6</v>
      </c>
      <c r="K36" s="37">
        <v>9</v>
      </c>
      <c r="L36" s="37">
        <v>6</v>
      </c>
      <c r="M36" s="37">
        <v>4</v>
      </c>
      <c r="N36" s="37">
        <f t="shared" si="0"/>
        <v>63</v>
      </c>
      <c r="O36" s="46">
        <f t="shared" si="1"/>
        <v>37</v>
      </c>
      <c r="P36" s="36">
        <v>49</v>
      </c>
    </row>
    <row r="37" spans="1:16" x14ac:dyDescent="0.25">
      <c r="A37" s="33" t="s">
        <v>72</v>
      </c>
      <c r="B37" s="37">
        <v>3</v>
      </c>
      <c r="C37" s="37">
        <v>2</v>
      </c>
      <c r="D37" s="37">
        <v>1</v>
      </c>
      <c r="E37" s="37">
        <v>2</v>
      </c>
      <c r="F37" s="37">
        <v>6</v>
      </c>
      <c r="G37" s="37">
        <v>2</v>
      </c>
      <c r="H37" s="37">
        <v>2</v>
      </c>
      <c r="I37" s="37">
        <v>6</v>
      </c>
      <c r="J37" s="37">
        <v>4</v>
      </c>
      <c r="K37" s="37">
        <v>2</v>
      </c>
      <c r="L37" s="37">
        <v>2</v>
      </c>
      <c r="M37" s="37">
        <v>1</v>
      </c>
      <c r="N37" s="37">
        <f t="shared" si="0"/>
        <v>33</v>
      </c>
      <c r="O37" s="46">
        <f t="shared" si="1"/>
        <v>17</v>
      </c>
      <c r="P37" s="36">
        <v>58</v>
      </c>
    </row>
    <row r="38" spans="1:16" x14ac:dyDescent="0.25">
      <c r="A38" s="33" t="s">
        <v>73</v>
      </c>
      <c r="B38" s="37">
        <v>7</v>
      </c>
      <c r="C38" s="37">
        <v>13</v>
      </c>
      <c r="D38" s="37">
        <v>17</v>
      </c>
      <c r="E38" s="37">
        <v>16</v>
      </c>
      <c r="F38" s="37">
        <v>3</v>
      </c>
      <c r="G38" s="37">
        <v>14</v>
      </c>
      <c r="H38" s="37">
        <v>8</v>
      </c>
      <c r="I38" s="37">
        <v>15</v>
      </c>
      <c r="J38" s="37">
        <v>13</v>
      </c>
      <c r="K38" s="37">
        <v>15</v>
      </c>
      <c r="L38" s="37">
        <v>19</v>
      </c>
      <c r="M38" s="37">
        <v>16</v>
      </c>
      <c r="N38" s="37">
        <f t="shared" si="0"/>
        <v>156</v>
      </c>
      <c r="O38" s="46">
        <f t="shared" si="1"/>
        <v>86</v>
      </c>
      <c r="P38" s="36">
        <v>69</v>
      </c>
    </row>
    <row r="39" spans="1:16" x14ac:dyDescent="0.25">
      <c r="A39" s="33" t="s">
        <v>26</v>
      </c>
      <c r="B39" s="37">
        <v>657</v>
      </c>
      <c r="C39" s="37">
        <v>601</v>
      </c>
      <c r="D39" s="37">
        <v>700</v>
      </c>
      <c r="E39" s="37">
        <v>654</v>
      </c>
      <c r="F39" s="37">
        <v>717</v>
      </c>
      <c r="G39" s="37">
        <v>717</v>
      </c>
      <c r="H39" s="37">
        <v>777</v>
      </c>
      <c r="I39" s="37">
        <v>782</v>
      </c>
      <c r="J39" s="37">
        <v>747</v>
      </c>
      <c r="K39" s="37">
        <v>754</v>
      </c>
      <c r="L39" s="38">
        <v>733</v>
      </c>
      <c r="M39" s="38">
        <v>758</v>
      </c>
      <c r="N39" s="37">
        <f t="shared" si="0"/>
        <v>8597</v>
      </c>
      <c r="O39" s="46">
        <f t="shared" si="1"/>
        <v>4551</v>
      </c>
      <c r="P39" s="36"/>
    </row>
    <row r="40" spans="1:16" x14ac:dyDescent="0.25">
      <c r="A40" s="33" t="s">
        <v>77</v>
      </c>
      <c r="B40" s="37">
        <v>21</v>
      </c>
      <c r="C40" s="37">
        <v>17</v>
      </c>
      <c r="D40" s="37">
        <v>23</v>
      </c>
      <c r="E40" s="37">
        <v>15</v>
      </c>
      <c r="F40" s="37">
        <v>21</v>
      </c>
      <c r="G40" s="37">
        <v>10</v>
      </c>
      <c r="H40" s="37"/>
      <c r="I40" s="37"/>
      <c r="J40" s="37">
        <v>19</v>
      </c>
      <c r="K40" s="37">
        <v>21</v>
      </c>
      <c r="L40" s="38">
        <v>21</v>
      </c>
      <c r="M40" s="38">
        <v>13</v>
      </c>
      <c r="N40" s="37">
        <f t="shared" si="0"/>
        <v>181</v>
      </c>
      <c r="O40" s="46">
        <f t="shared" si="1"/>
        <v>74</v>
      </c>
      <c r="P40" s="36"/>
    </row>
    <row r="41" spans="1:16" x14ac:dyDescent="0.25">
      <c r="A41" s="33" t="s">
        <v>78</v>
      </c>
      <c r="B41" s="37"/>
      <c r="C41" s="37">
        <v>1</v>
      </c>
      <c r="D41" s="37">
        <v>0</v>
      </c>
      <c r="E41" s="37"/>
      <c r="F41" s="37"/>
      <c r="G41" s="37"/>
      <c r="H41" s="37"/>
      <c r="I41" s="37"/>
      <c r="J41" s="37"/>
      <c r="K41" s="37"/>
      <c r="L41" s="38"/>
      <c r="M41" s="38"/>
      <c r="N41" s="37">
        <f t="shared" si="0"/>
        <v>1</v>
      </c>
      <c r="O41" s="46">
        <f t="shared" si="1"/>
        <v>0</v>
      </c>
      <c r="P41" s="36"/>
    </row>
    <row r="42" spans="1:16" x14ac:dyDescent="0.25">
      <c r="A42" s="33" t="s">
        <v>85</v>
      </c>
      <c r="B42" s="37">
        <v>49</v>
      </c>
      <c r="C42" s="37">
        <v>13</v>
      </c>
      <c r="D42" s="37">
        <v>25</v>
      </c>
      <c r="E42" s="37">
        <v>9</v>
      </c>
      <c r="F42" s="37">
        <v>9</v>
      </c>
      <c r="G42" s="37">
        <v>4</v>
      </c>
      <c r="H42" s="37">
        <v>5</v>
      </c>
      <c r="I42" s="37">
        <v>3</v>
      </c>
      <c r="J42" s="37">
        <v>2</v>
      </c>
      <c r="K42" s="37">
        <v>1</v>
      </c>
      <c r="L42" s="38">
        <v>2</v>
      </c>
      <c r="M42" s="38">
        <v>54</v>
      </c>
      <c r="N42" s="37">
        <f t="shared" si="0"/>
        <v>176</v>
      </c>
      <c r="O42" s="46">
        <f t="shared" si="1"/>
        <v>67</v>
      </c>
      <c r="P42" s="36">
        <v>25</v>
      </c>
    </row>
    <row r="43" spans="1:16" x14ac:dyDescent="0.25">
      <c r="A43" s="33" t="s">
        <v>91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38"/>
      <c r="N43" s="37"/>
      <c r="O43" s="46"/>
      <c r="P43" s="36"/>
    </row>
    <row r="44" spans="1:16" x14ac:dyDescent="0.25">
      <c r="A44" s="39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46"/>
      <c r="P44" s="36"/>
    </row>
    <row r="45" spans="1:16" x14ac:dyDescent="0.25">
      <c r="A45" s="39" t="s">
        <v>86</v>
      </c>
      <c r="B45" s="40">
        <f>+B4+B5+B6+B7+B8+B10+B12+B14</f>
        <v>2510</v>
      </c>
      <c r="C45" s="40">
        <f>+C4+C5+C6+C7+C8+C10+C12+C14</f>
        <v>1420</v>
      </c>
      <c r="D45" s="40">
        <f>+D4+D5+D6+D7+D8+D10+D12+D14</f>
        <v>2090</v>
      </c>
      <c r="E45" s="40">
        <f>+E4+E5+E6+E7+E8+E10+E12+E14</f>
        <v>1800</v>
      </c>
      <c r="F45" s="40">
        <f t="shared" ref="F45:N45" si="2">+F4+F5+F6+F7+F8+F10+F12+F14</f>
        <v>1470</v>
      </c>
      <c r="G45" s="40">
        <f t="shared" si="2"/>
        <v>2790</v>
      </c>
      <c r="H45" s="40">
        <f t="shared" si="2"/>
        <v>1780</v>
      </c>
      <c r="I45" s="40">
        <f t="shared" si="2"/>
        <v>1190</v>
      </c>
      <c r="J45" s="40">
        <f t="shared" si="2"/>
        <v>2120</v>
      </c>
      <c r="K45" s="40">
        <f t="shared" si="2"/>
        <v>1500</v>
      </c>
      <c r="L45" s="40">
        <f t="shared" si="2"/>
        <v>1240</v>
      </c>
      <c r="M45" s="40">
        <f t="shared" si="2"/>
        <v>2220</v>
      </c>
      <c r="N45" s="40">
        <f t="shared" si="2"/>
        <v>22130</v>
      </c>
      <c r="O45" s="46"/>
      <c r="P45" s="36"/>
    </row>
    <row r="46" spans="1:16" x14ac:dyDescent="0.25">
      <c r="A46" s="39" t="s">
        <v>87</v>
      </c>
      <c r="B46" s="40">
        <f t="shared" ref="B46:N46" si="3">+B16+B28+B9+B13+B42</f>
        <v>3439</v>
      </c>
      <c r="C46" s="40">
        <f t="shared" si="3"/>
        <v>2303</v>
      </c>
      <c r="D46" s="40">
        <f t="shared" si="3"/>
        <v>1920</v>
      </c>
      <c r="E46" s="40">
        <f t="shared" si="3"/>
        <v>1419</v>
      </c>
      <c r="F46" s="40">
        <f t="shared" si="3"/>
        <v>1759</v>
      </c>
      <c r="G46" s="40">
        <f t="shared" si="3"/>
        <v>2864</v>
      </c>
      <c r="H46" s="40">
        <f t="shared" si="3"/>
        <v>2140</v>
      </c>
      <c r="I46" s="40">
        <f t="shared" si="3"/>
        <v>2188</v>
      </c>
      <c r="J46" s="40">
        <f t="shared" si="3"/>
        <v>1342</v>
      </c>
      <c r="K46" s="40">
        <f t="shared" si="3"/>
        <v>2081</v>
      </c>
      <c r="L46" s="40">
        <f t="shared" si="3"/>
        <v>1187</v>
      </c>
      <c r="M46" s="40">
        <f t="shared" si="3"/>
        <v>2314</v>
      </c>
      <c r="N46" s="40">
        <f t="shared" si="3"/>
        <v>24956</v>
      </c>
      <c r="O46" s="46"/>
      <c r="P46" s="36"/>
    </row>
    <row r="47" spans="1:16" x14ac:dyDescent="0.25">
      <c r="A47" s="33" t="s">
        <v>50</v>
      </c>
      <c r="B47" s="40">
        <f>B4+B5+B6+B7+B21+B26+B29+B19+B30+B31+B32+B33+B34+B35+B36+B37+B38+B41+B8+B10+B12+B14</f>
        <v>6539</v>
      </c>
      <c r="C47" s="40">
        <f>C4+C5+C6+C7+C21+C26+C29+C19+C30+C31+C32+C33+C34+C35+C36+C37+C38+C41+C8+C10+C12+C14</f>
        <v>5602</v>
      </c>
      <c r="D47" s="40">
        <f>D4+D5+D6+D7+D21+D26+D29+D19+D30+D31+D32+D33+D34+D35+D36+D37+D38+D41+D8+D10+D12+D14</f>
        <v>6856</v>
      </c>
      <c r="E47" s="40">
        <f>E4+E5+E6+E7+E21+E26+E29+E19+E30+E31+E32+E33+E34+E35+E36+E37+E38+E41+E8+E10+E12+E14</f>
        <v>7190</v>
      </c>
      <c r="F47" s="40">
        <f t="shared" ref="F47:N47" si="4">F4+F5+F6+F7+F21+F26+F29+F19+F30+F31+F32+F33+F34+F35+F36+F37+F38+F41+F8+F10+F12+F14</f>
        <v>7980</v>
      </c>
      <c r="G47" s="40">
        <f t="shared" si="4"/>
        <v>9259</v>
      </c>
      <c r="H47" s="40">
        <f t="shared" si="4"/>
        <v>9514</v>
      </c>
      <c r="I47" s="40">
        <f t="shared" si="4"/>
        <v>9321</v>
      </c>
      <c r="J47" s="40">
        <f t="shared" si="4"/>
        <v>9135</v>
      </c>
      <c r="K47" s="40">
        <f t="shared" si="4"/>
        <v>7870</v>
      </c>
      <c r="L47" s="40">
        <f t="shared" si="4"/>
        <v>6615</v>
      </c>
      <c r="M47" s="40">
        <f t="shared" si="4"/>
        <v>8399</v>
      </c>
      <c r="N47" s="40">
        <f t="shared" si="4"/>
        <v>94280</v>
      </c>
      <c r="O47" s="46"/>
      <c r="P47" s="36"/>
    </row>
    <row r="48" spans="1:16" x14ac:dyDescent="0.25">
      <c r="A48" s="33" t="s">
        <v>28</v>
      </c>
      <c r="B48" s="40">
        <f>+B4+B5+B6+B7+B16+B17+B18+B19+B20+B21+B25+B26+B28+B30+B31+B32+B33+B34+B35+B36+B37+B38+B41+B8+B9+B10+B12+B27+B42+B13+B14+B29+B11+B15+B22</f>
        <v>13409</v>
      </c>
      <c r="C48" s="40">
        <f t="shared" ref="C48:N48" si="5">+C4+C5+C6+C7+C16+C17+C18+C19+C20+C21+C25+C26+C28+C30+C31+C32+C33+C34+C35+C36+C37+C38+C41+C8+C9+C10+C12+C27+C42+C13+C14+C29+C11+C15+C22</f>
        <v>11255</v>
      </c>
      <c r="D48" s="40">
        <f t="shared" si="5"/>
        <v>12581</v>
      </c>
      <c r="E48" s="40">
        <f t="shared" si="5"/>
        <v>12866</v>
      </c>
      <c r="F48" s="40">
        <f t="shared" si="5"/>
        <v>14916</v>
      </c>
      <c r="G48" s="40">
        <f t="shared" si="5"/>
        <v>18152</v>
      </c>
      <c r="H48" s="40">
        <f t="shared" si="5"/>
        <v>21111</v>
      </c>
      <c r="I48" s="40">
        <f t="shared" si="5"/>
        <v>21644</v>
      </c>
      <c r="J48" s="40">
        <f t="shared" si="5"/>
        <v>16678</v>
      </c>
      <c r="K48" s="40">
        <f t="shared" si="5"/>
        <v>14650</v>
      </c>
      <c r="L48" s="40">
        <f t="shared" si="5"/>
        <v>11817</v>
      </c>
      <c r="M48" s="40">
        <f t="shared" si="5"/>
        <v>15457</v>
      </c>
      <c r="N48" s="40">
        <f t="shared" si="5"/>
        <v>184536</v>
      </c>
      <c r="O48" s="46"/>
      <c r="P48" s="36"/>
    </row>
    <row r="49" spans="1:16" x14ac:dyDescent="0.25">
      <c r="A49" s="33" t="s">
        <v>46</v>
      </c>
      <c r="B49" s="40">
        <f>SUM(B4:B42)-B24-B39-B40</f>
        <v>13430</v>
      </c>
      <c r="C49" s="40">
        <f>SUM(C4:C42)-C24-C39-C40</f>
        <v>11272</v>
      </c>
      <c r="D49" s="40">
        <f>SUM(D4:D42)-D24-D39-D40</f>
        <v>12604</v>
      </c>
      <c r="E49" s="40">
        <f t="shared" ref="E49:N49" si="6">SUM(E4:E42)-E24-E39-E40</f>
        <v>12881</v>
      </c>
      <c r="F49" s="40">
        <f t="shared" si="6"/>
        <v>14937</v>
      </c>
      <c r="G49" s="40">
        <f t="shared" si="6"/>
        <v>18162</v>
      </c>
      <c r="H49" s="40">
        <f t="shared" si="6"/>
        <v>21111</v>
      </c>
      <c r="I49" s="40">
        <f t="shared" si="6"/>
        <v>21644</v>
      </c>
      <c r="J49" s="40">
        <f t="shared" si="6"/>
        <v>16697</v>
      </c>
      <c r="K49" s="40">
        <f t="shared" si="6"/>
        <v>14671</v>
      </c>
      <c r="L49" s="40">
        <f t="shared" si="6"/>
        <v>11838</v>
      </c>
      <c r="M49" s="40">
        <f t="shared" si="6"/>
        <v>15470</v>
      </c>
      <c r="N49" s="40">
        <f t="shared" si="6"/>
        <v>184717</v>
      </c>
      <c r="O49" s="46"/>
      <c r="P49" s="36"/>
    </row>
    <row r="50" spans="1:16" x14ac:dyDescent="0.25">
      <c r="A50" s="33" t="s">
        <v>52</v>
      </c>
      <c r="B50" s="40">
        <f>+B16+B17+B25+B28+B9+B13+B27+B18+B42</f>
        <v>6857</v>
      </c>
      <c r="C50" s="40">
        <f>+C16+C17+C25+C28+C9+C13+C27+C18+C42</f>
        <v>5645</v>
      </c>
      <c r="D50" s="40">
        <f>+D16+D17+D25+D28+D9+D13+D27+D18+D42</f>
        <v>5716</v>
      </c>
      <c r="E50" s="40">
        <f>+E16+E17+E25+E28+E9+E13+E27+E18+E42</f>
        <v>5666</v>
      </c>
      <c r="F50" s="40">
        <f t="shared" ref="F50:N50" si="7">+F16+F17+F25+F28+F9+F13+F27+F18+F42</f>
        <v>6926</v>
      </c>
      <c r="G50" s="40">
        <f t="shared" si="7"/>
        <v>8699</v>
      </c>
      <c r="H50" s="40">
        <f t="shared" si="7"/>
        <v>11590</v>
      </c>
      <c r="I50" s="40">
        <f t="shared" si="7"/>
        <v>12314</v>
      </c>
      <c r="J50" s="40">
        <f t="shared" si="7"/>
        <v>7477</v>
      </c>
      <c r="K50" s="40">
        <f t="shared" si="7"/>
        <v>6775</v>
      </c>
      <c r="L50" s="40">
        <f t="shared" si="7"/>
        <v>5194</v>
      </c>
      <c r="M50" s="40">
        <f>+M16+M17+M25+M28+M9+M13+M27+M18+M42</f>
        <v>6929</v>
      </c>
      <c r="N50" s="40">
        <f t="shared" si="7"/>
        <v>89788</v>
      </c>
      <c r="O50" s="46"/>
      <c r="P50" s="36"/>
    </row>
    <row r="51" spans="1:16" x14ac:dyDescent="0.25">
      <c r="A51" s="36"/>
      <c r="B51" s="18">
        <f t="shared" ref="B51:N51" si="8">SUM(B4:B42)</f>
        <v>14110</v>
      </c>
      <c r="C51" s="18">
        <f t="shared" si="8"/>
        <v>11909</v>
      </c>
      <c r="D51" s="18">
        <f t="shared" si="8"/>
        <v>13342</v>
      </c>
      <c r="E51" s="18">
        <f t="shared" si="8"/>
        <v>13566</v>
      </c>
      <c r="F51" s="18">
        <f t="shared" si="8"/>
        <v>15678</v>
      </c>
      <c r="G51" s="18">
        <f t="shared" si="8"/>
        <v>18919</v>
      </c>
      <c r="H51" s="18">
        <f t="shared" si="8"/>
        <v>21903</v>
      </c>
      <c r="I51" s="18">
        <f t="shared" si="8"/>
        <v>22459</v>
      </c>
      <c r="J51" s="18">
        <f t="shared" si="8"/>
        <v>17498</v>
      </c>
      <c r="K51" s="18">
        <f t="shared" si="8"/>
        <v>15470</v>
      </c>
      <c r="L51" s="18">
        <f t="shared" si="8"/>
        <v>12608</v>
      </c>
      <c r="M51" s="18">
        <f t="shared" si="8"/>
        <v>16255</v>
      </c>
      <c r="N51" s="18">
        <f t="shared" si="8"/>
        <v>193717</v>
      </c>
      <c r="O51" s="18"/>
    </row>
    <row r="52" spans="1:16" x14ac:dyDescent="0.25">
      <c r="A52" s="41"/>
    </row>
    <row r="60" spans="1:16" x14ac:dyDescent="0.25">
      <c r="A60" s="39" t="s">
        <v>179</v>
      </c>
      <c r="B60" s="40">
        <f>+B4+B5+B6+B7+B8+B10+B11+B12+B14+B15</f>
        <v>2510</v>
      </c>
      <c r="C60" s="40">
        <f t="shared" ref="C60:M60" si="9">+C4+C5+C6+C7+C8+C10+C11+C12+C14+C15</f>
        <v>1420</v>
      </c>
      <c r="D60" s="40">
        <f t="shared" si="9"/>
        <v>2090</v>
      </c>
      <c r="E60" s="40">
        <f t="shared" si="9"/>
        <v>1800</v>
      </c>
      <c r="F60" s="40">
        <f t="shared" si="9"/>
        <v>1470</v>
      </c>
      <c r="G60" s="40">
        <f t="shared" si="9"/>
        <v>2970</v>
      </c>
      <c r="H60" s="40">
        <f t="shared" si="9"/>
        <v>1780</v>
      </c>
      <c r="I60" s="40">
        <f t="shared" si="9"/>
        <v>1190</v>
      </c>
      <c r="J60" s="40">
        <f t="shared" si="9"/>
        <v>2180</v>
      </c>
      <c r="K60" s="40">
        <f t="shared" si="9"/>
        <v>1500</v>
      </c>
      <c r="L60" s="40">
        <f t="shared" si="9"/>
        <v>1240</v>
      </c>
      <c r="M60" s="40">
        <f t="shared" si="9"/>
        <v>2340</v>
      </c>
      <c r="N60" s="40">
        <f>SUM(B60:M60)</f>
        <v>22490</v>
      </c>
    </row>
    <row r="61" spans="1:16" x14ac:dyDescent="0.25">
      <c r="A61" s="39" t="s">
        <v>177</v>
      </c>
      <c r="B61" s="40">
        <f>+B19+B26</f>
        <v>3618</v>
      </c>
      <c r="C61" s="40">
        <f t="shared" ref="C61:M61" si="10">+C19+C26</f>
        <v>3756</v>
      </c>
      <c r="D61" s="40">
        <f t="shared" si="10"/>
        <v>4305</v>
      </c>
      <c r="E61" s="40">
        <f t="shared" si="10"/>
        <v>4806</v>
      </c>
      <c r="F61" s="40">
        <f t="shared" si="10"/>
        <v>5749</v>
      </c>
      <c r="G61" s="40">
        <f t="shared" si="10"/>
        <v>5705</v>
      </c>
      <c r="H61" s="40">
        <f t="shared" si="10"/>
        <v>6929</v>
      </c>
      <c r="I61" s="40">
        <f t="shared" si="10"/>
        <v>7285</v>
      </c>
      <c r="J61" s="40">
        <f t="shared" si="10"/>
        <v>6205</v>
      </c>
      <c r="K61" s="40">
        <f t="shared" si="10"/>
        <v>5587</v>
      </c>
      <c r="L61" s="40">
        <f t="shared" si="10"/>
        <v>4848</v>
      </c>
      <c r="M61" s="40">
        <f t="shared" si="10"/>
        <v>5591</v>
      </c>
      <c r="N61" s="40">
        <f t="shared" ref="N61:N66" si="11">SUM(B61:M61)</f>
        <v>64384</v>
      </c>
    </row>
    <row r="62" spans="1:16" x14ac:dyDescent="0.25">
      <c r="A62" s="33" t="s">
        <v>178</v>
      </c>
      <c r="B62" s="40">
        <f>+B21+B22</f>
        <v>6</v>
      </c>
      <c r="C62" s="40">
        <f t="shared" ref="C62:M62" si="12">+C21+C22</f>
        <v>6</v>
      </c>
      <c r="D62" s="40">
        <f t="shared" si="12"/>
        <v>12</v>
      </c>
      <c r="E62" s="40">
        <f t="shared" si="12"/>
        <v>27</v>
      </c>
      <c r="F62" s="40">
        <f t="shared" si="12"/>
        <v>54</v>
      </c>
      <c r="G62" s="40">
        <f t="shared" si="12"/>
        <v>68</v>
      </c>
      <c r="H62" s="40">
        <f t="shared" si="12"/>
        <v>121</v>
      </c>
      <c r="I62" s="40">
        <f t="shared" si="12"/>
        <v>104</v>
      </c>
      <c r="J62" s="40">
        <f t="shared" si="12"/>
        <v>131</v>
      </c>
      <c r="K62" s="40">
        <f t="shared" si="12"/>
        <v>52</v>
      </c>
      <c r="L62" s="40">
        <f t="shared" si="12"/>
        <v>4</v>
      </c>
      <c r="M62" s="40">
        <f t="shared" si="12"/>
        <v>10</v>
      </c>
      <c r="N62" s="40">
        <f t="shared" si="11"/>
        <v>595</v>
      </c>
    </row>
    <row r="63" spans="1:16" x14ac:dyDescent="0.25">
      <c r="A63" s="33" t="s">
        <v>180</v>
      </c>
      <c r="B63" s="40">
        <f>+B30+B31+B32+B33+B34+B35+B36+B37+B38+B29</f>
        <v>405</v>
      </c>
      <c r="C63" s="40">
        <f t="shared" ref="C63:M63" si="13">+C30+C31+C32+C33+C34+C35+C36+C37+C38+C29</f>
        <v>419</v>
      </c>
      <c r="D63" s="40">
        <f t="shared" si="13"/>
        <v>449</v>
      </c>
      <c r="E63" s="40">
        <f t="shared" si="13"/>
        <v>557</v>
      </c>
      <c r="F63" s="40">
        <f t="shared" si="13"/>
        <v>707</v>
      </c>
      <c r="G63" s="40">
        <f t="shared" si="13"/>
        <v>696</v>
      </c>
      <c r="H63" s="40">
        <f t="shared" si="13"/>
        <v>684</v>
      </c>
      <c r="I63" s="40">
        <f t="shared" si="13"/>
        <v>743</v>
      </c>
      <c r="J63" s="40">
        <f t="shared" si="13"/>
        <v>679</v>
      </c>
      <c r="K63" s="40">
        <f t="shared" si="13"/>
        <v>731</v>
      </c>
      <c r="L63" s="40">
        <f t="shared" si="13"/>
        <v>523</v>
      </c>
      <c r="M63" s="40">
        <f t="shared" si="13"/>
        <v>578</v>
      </c>
      <c r="N63" s="40">
        <f t="shared" si="11"/>
        <v>7171</v>
      </c>
    </row>
    <row r="64" spans="1:16" x14ac:dyDescent="0.25">
      <c r="A64" s="33" t="s">
        <v>157</v>
      </c>
      <c r="B64" s="40">
        <f>+B9+B13+B16+B28</f>
        <v>3390</v>
      </c>
      <c r="C64" s="40">
        <f t="shared" ref="C64:M64" si="14">+C9+C13+C16+C28</f>
        <v>2290</v>
      </c>
      <c r="D64" s="40">
        <f t="shared" si="14"/>
        <v>1895</v>
      </c>
      <c r="E64" s="40">
        <f t="shared" si="14"/>
        <v>1410</v>
      </c>
      <c r="F64" s="40">
        <f t="shared" si="14"/>
        <v>1750</v>
      </c>
      <c r="G64" s="40">
        <f t="shared" si="14"/>
        <v>2860</v>
      </c>
      <c r="H64" s="40">
        <f t="shared" si="14"/>
        <v>2135</v>
      </c>
      <c r="I64" s="40">
        <f t="shared" si="14"/>
        <v>2185</v>
      </c>
      <c r="J64" s="40">
        <f t="shared" si="14"/>
        <v>1340</v>
      </c>
      <c r="K64" s="40">
        <f t="shared" si="14"/>
        <v>2080</v>
      </c>
      <c r="L64" s="40">
        <f t="shared" si="14"/>
        <v>1185</v>
      </c>
      <c r="M64" s="40">
        <f t="shared" si="14"/>
        <v>2260</v>
      </c>
      <c r="N64" s="40">
        <f t="shared" si="11"/>
        <v>24780</v>
      </c>
    </row>
    <row r="65" spans="1:14" x14ac:dyDescent="0.25">
      <c r="A65" s="33" t="s">
        <v>181</v>
      </c>
      <c r="B65" s="40">
        <f>+B17+B25</f>
        <v>3369</v>
      </c>
      <c r="C65" s="40">
        <f t="shared" ref="C65:M65" si="15">+C17+C25</f>
        <v>3274</v>
      </c>
      <c r="D65" s="40">
        <f t="shared" si="15"/>
        <v>3701</v>
      </c>
      <c r="E65" s="40">
        <f t="shared" si="15"/>
        <v>4149</v>
      </c>
      <c r="F65" s="40">
        <f t="shared" si="15"/>
        <v>5021</v>
      </c>
      <c r="G65" s="40">
        <f t="shared" si="15"/>
        <v>5621</v>
      </c>
      <c r="H65" s="40">
        <f t="shared" si="15"/>
        <v>9033</v>
      </c>
      <c r="I65" s="40">
        <f t="shared" si="15"/>
        <v>9668</v>
      </c>
      <c r="J65" s="40">
        <f t="shared" si="15"/>
        <v>5821</v>
      </c>
      <c r="K65" s="40">
        <f t="shared" si="15"/>
        <v>4589</v>
      </c>
      <c r="L65" s="40">
        <f t="shared" si="15"/>
        <v>3979</v>
      </c>
      <c r="M65" s="40">
        <f t="shared" si="15"/>
        <v>4590</v>
      </c>
      <c r="N65" s="40">
        <f t="shared" si="11"/>
        <v>62815</v>
      </c>
    </row>
    <row r="66" spans="1:14" x14ac:dyDescent="0.25">
      <c r="A66" s="33" t="s">
        <v>182</v>
      </c>
      <c r="B66" s="40">
        <f>+B18+B27</f>
        <v>49</v>
      </c>
      <c r="C66" s="40">
        <f t="shared" ref="C66:M66" si="16">+C18+C27</f>
        <v>68</v>
      </c>
      <c r="D66" s="40">
        <f t="shared" si="16"/>
        <v>95</v>
      </c>
      <c r="E66" s="40">
        <f t="shared" si="16"/>
        <v>98</v>
      </c>
      <c r="F66" s="40">
        <f t="shared" si="16"/>
        <v>146</v>
      </c>
      <c r="G66" s="40">
        <f t="shared" si="16"/>
        <v>214</v>
      </c>
      <c r="H66" s="40">
        <f t="shared" si="16"/>
        <v>417</v>
      </c>
      <c r="I66" s="40">
        <f t="shared" si="16"/>
        <v>458</v>
      </c>
      <c r="J66" s="40">
        <f t="shared" si="16"/>
        <v>314</v>
      </c>
      <c r="K66" s="40">
        <f t="shared" si="16"/>
        <v>105</v>
      </c>
      <c r="L66" s="40">
        <f t="shared" si="16"/>
        <v>28</v>
      </c>
      <c r="M66" s="40">
        <f t="shared" si="16"/>
        <v>25</v>
      </c>
      <c r="N66" s="40">
        <f t="shared" si="11"/>
        <v>2017</v>
      </c>
    </row>
  </sheetData>
  <phoneticPr fontId="12" type="noConversion"/>
  <pageMargins left="0.25" right="0.25" top="0.25" bottom="0.25" header="0" footer="0"/>
  <pageSetup scale="8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O56"/>
  <sheetViews>
    <sheetView workbookViewId="0">
      <pane xSplit="1" ySplit="3" topLeftCell="F26" activePane="bottomRight" state="frozen"/>
      <selection pane="topRight" activeCell="B1" sqref="B1"/>
      <selection pane="bottomLeft" activeCell="A4" sqref="A4"/>
      <selection pane="bottomRight" activeCell="M45" sqref="M45"/>
    </sheetView>
  </sheetViews>
  <sheetFormatPr defaultColWidth="9.75" defaultRowHeight="16.2" x14ac:dyDescent="0.25"/>
  <cols>
    <col min="1" max="1" width="31.4140625" style="11" customWidth="1"/>
    <col min="2" max="13" width="6.75" style="11" customWidth="1"/>
    <col min="14" max="16384" width="9.75" style="11"/>
  </cols>
  <sheetData>
    <row r="1" spans="1:15" ht="18.600000000000001" x14ac:dyDescent="0.25">
      <c r="A1" s="10" t="s">
        <v>101</v>
      </c>
    </row>
    <row r="3" spans="1:15" ht="16.8" x14ac:dyDescent="0.25">
      <c r="A3" s="12" t="s">
        <v>1</v>
      </c>
      <c r="B3" s="13" t="s">
        <v>29</v>
      </c>
      <c r="C3" s="13" t="s">
        <v>30</v>
      </c>
      <c r="D3" s="13" t="s">
        <v>31</v>
      </c>
      <c r="E3" s="13" t="s">
        <v>32</v>
      </c>
      <c r="F3" s="13" t="s">
        <v>33</v>
      </c>
      <c r="G3" s="13" t="s">
        <v>34</v>
      </c>
      <c r="H3" s="13" t="s">
        <v>35</v>
      </c>
      <c r="I3" s="13" t="s">
        <v>36</v>
      </c>
      <c r="J3" s="13" t="s">
        <v>37</v>
      </c>
      <c r="K3" s="13" t="s">
        <v>38</v>
      </c>
      <c r="L3" s="13" t="s">
        <v>39</v>
      </c>
      <c r="M3" s="13" t="s">
        <v>40</v>
      </c>
      <c r="N3" s="14" t="s">
        <v>41</v>
      </c>
      <c r="O3" s="15"/>
    </row>
    <row r="4" spans="1:15" x14ac:dyDescent="0.25">
      <c r="A4" s="12" t="s">
        <v>56</v>
      </c>
      <c r="B4" s="9">
        <v>590</v>
      </c>
      <c r="C4" s="9">
        <v>490</v>
      </c>
      <c r="D4" s="9">
        <v>680</v>
      </c>
      <c r="E4" s="9">
        <v>730</v>
      </c>
      <c r="F4" s="9">
        <v>840</v>
      </c>
      <c r="G4" s="9">
        <v>1120</v>
      </c>
      <c r="H4" s="9">
        <v>1320</v>
      </c>
      <c r="I4" s="9">
        <v>1030</v>
      </c>
      <c r="J4" s="9">
        <v>280</v>
      </c>
      <c r="K4" s="9">
        <v>20</v>
      </c>
      <c r="L4" s="9">
        <v>630</v>
      </c>
      <c r="M4" s="9">
        <v>860</v>
      </c>
      <c r="N4" s="9">
        <f t="shared" ref="N4:N35" si="0">SUM(B4:M4)</f>
        <v>8590</v>
      </c>
      <c r="O4" s="15"/>
    </row>
    <row r="5" spans="1:15" x14ac:dyDescent="0.25">
      <c r="A5" s="12" t="s">
        <v>58</v>
      </c>
      <c r="B5" s="9"/>
      <c r="C5" s="9">
        <v>10</v>
      </c>
      <c r="D5" s="9"/>
      <c r="E5" s="9">
        <v>30</v>
      </c>
      <c r="F5" s="9">
        <v>40</v>
      </c>
      <c r="G5" s="9"/>
      <c r="H5" s="9">
        <v>30</v>
      </c>
      <c r="I5" s="9">
        <v>20</v>
      </c>
      <c r="J5" s="9">
        <v>20</v>
      </c>
      <c r="K5" s="9">
        <v>10</v>
      </c>
      <c r="L5" s="9"/>
      <c r="M5" s="9"/>
      <c r="N5" s="9">
        <f t="shared" si="0"/>
        <v>160</v>
      </c>
      <c r="O5" s="15"/>
    </row>
    <row r="6" spans="1:15" x14ac:dyDescent="0.25">
      <c r="A6" s="12" t="s">
        <v>57</v>
      </c>
      <c r="B6" s="9">
        <v>4180</v>
      </c>
      <c r="C6" s="9">
        <v>4440</v>
      </c>
      <c r="D6" s="9">
        <v>4260</v>
      </c>
      <c r="E6" s="9">
        <v>4400</v>
      </c>
      <c r="F6" s="9">
        <v>5940</v>
      </c>
      <c r="G6" s="9">
        <v>5820</v>
      </c>
      <c r="H6" s="9">
        <v>5600</v>
      </c>
      <c r="I6" s="9">
        <v>4920</v>
      </c>
      <c r="J6" s="9">
        <v>1000</v>
      </c>
      <c r="K6" s="9">
        <v>160</v>
      </c>
      <c r="L6" s="9">
        <v>3140</v>
      </c>
      <c r="M6" s="9">
        <v>2300</v>
      </c>
      <c r="N6" s="9">
        <f t="shared" si="0"/>
        <v>46160</v>
      </c>
      <c r="O6" s="15"/>
    </row>
    <row r="7" spans="1:15" x14ac:dyDescent="0.25">
      <c r="A7" s="12" t="s">
        <v>59</v>
      </c>
      <c r="B7" s="9">
        <v>20</v>
      </c>
      <c r="C7" s="9">
        <v>10</v>
      </c>
      <c r="D7" s="9">
        <v>60</v>
      </c>
      <c r="E7" s="9">
        <v>60</v>
      </c>
      <c r="F7" s="9">
        <v>140</v>
      </c>
      <c r="G7" s="9">
        <v>40</v>
      </c>
      <c r="H7" s="9">
        <v>120</v>
      </c>
      <c r="I7" s="9">
        <v>120</v>
      </c>
      <c r="J7" s="9">
        <v>20</v>
      </c>
      <c r="K7" s="9">
        <v>40</v>
      </c>
      <c r="L7" s="9">
        <v>40</v>
      </c>
      <c r="M7" s="9"/>
      <c r="N7" s="9">
        <f t="shared" si="0"/>
        <v>670</v>
      </c>
      <c r="O7" s="15"/>
    </row>
    <row r="8" spans="1:15" x14ac:dyDescent="0.25">
      <c r="A8" s="12" t="s">
        <v>79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>
        <v>120</v>
      </c>
      <c r="N8" s="9">
        <f t="shared" ref="N8:N13" si="1">SUM(B8:M8)</f>
        <v>120</v>
      </c>
      <c r="O8" s="15"/>
    </row>
    <row r="9" spans="1:15" x14ac:dyDescent="0.25">
      <c r="A9" s="12" t="s">
        <v>80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>
        <v>540</v>
      </c>
      <c r="N9" s="9">
        <f t="shared" si="1"/>
        <v>540</v>
      </c>
      <c r="O9" s="15"/>
    </row>
    <row r="10" spans="1:15" x14ac:dyDescent="0.25">
      <c r="A10" s="12" t="s">
        <v>81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>
        <v>360</v>
      </c>
      <c r="N10" s="9">
        <f t="shared" si="1"/>
        <v>360</v>
      </c>
      <c r="O10" s="15"/>
    </row>
    <row r="11" spans="1:15" x14ac:dyDescent="0.25">
      <c r="A11" s="12" t="s">
        <v>82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>
        <v>1440</v>
      </c>
      <c r="N11" s="9">
        <f t="shared" si="1"/>
        <v>1440</v>
      </c>
      <c r="O11" s="15"/>
    </row>
    <row r="12" spans="1:15" x14ac:dyDescent="0.25">
      <c r="A12" s="12" t="s">
        <v>83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>
        <v>1200</v>
      </c>
      <c r="N12" s="9">
        <f t="shared" si="1"/>
        <v>1200</v>
      </c>
      <c r="O12" s="15"/>
    </row>
    <row r="13" spans="1:15" x14ac:dyDescent="0.25">
      <c r="A13" s="12" t="s">
        <v>84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>
        <v>120</v>
      </c>
      <c r="N13" s="9">
        <f t="shared" si="1"/>
        <v>120</v>
      </c>
      <c r="O13" s="15"/>
    </row>
    <row r="14" spans="1:15" x14ac:dyDescent="0.25">
      <c r="A14" s="12" t="s">
        <v>60</v>
      </c>
      <c r="B14" s="9">
        <v>2460</v>
      </c>
      <c r="C14" s="9">
        <v>2020</v>
      </c>
      <c r="D14" s="9">
        <v>3880</v>
      </c>
      <c r="E14" s="9">
        <v>3620</v>
      </c>
      <c r="F14" s="9">
        <v>3760</v>
      </c>
      <c r="G14" s="9">
        <v>4060</v>
      </c>
      <c r="H14" s="9">
        <v>4000</v>
      </c>
      <c r="I14" s="9">
        <v>4340</v>
      </c>
      <c r="J14" s="9">
        <v>6175</v>
      </c>
      <c r="K14" s="9">
        <v>6700</v>
      </c>
      <c r="L14" s="9">
        <v>3725</v>
      </c>
      <c r="M14" s="9">
        <v>2275</v>
      </c>
      <c r="N14" s="9">
        <f t="shared" si="0"/>
        <v>47015</v>
      </c>
      <c r="O14" s="15"/>
    </row>
    <row r="15" spans="1:15" x14ac:dyDescent="0.25">
      <c r="A15" s="12" t="s">
        <v>5</v>
      </c>
      <c r="B15" s="9">
        <v>1271</v>
      </c>
      <c r="C15" s="9">
        <v>1326</v>
      </c>
      <c r="D15" s="9">
        <v>1737</v>
      </c>
      <c r="E15" s="9">
        <v>1840</v>
      </c>
      <c r="F15" s="9">
        <v>2326</v>
      </c>
      <c r="G15" s="9">
        <v>2287</v>
      </c>
      <c r="H15" s="9">
        <v>4200</v>
      </c>
      <c r="I15" s="9">
        <v>3947</v>
      </c>
      <c r="J15" s="9">
        <v>2931</v>
      </c>
      <c r="K15" s="9">
        <v>2289</v>
      </c>
      <c r="L15" s="9">
        <v>1920</v>
      </c>
      <c r="M15" s="9">
        <v>1865</v>
      </c>
      <c r="N15" s="9">
        <f t="shared" si="0"/>
        <v>27939</v>
      </c>
      <c r="O15" s="15"/>
    </row>
    <row r="16" spans="1:15" x14ac:dyDescent="0.25">
      <c r="A16" s="12" t="s">
        <v>61</v>
      </c>
      <c r="B16" s="9"/>
      <c r="C16" s="9"/>
      <c r="D16" s="9"/>
      <c r="E16" s="9"/>
      <c r="F16" s="9"/>
      <c r="G16" s="9">
        <v>192</v>
      </c>
      <c r="H16" s="9">
        <v>324</v>
      </c>
      <c r="I16" s="9">
        <v>380</v>
      </c>
      <c r="J16" s="9">
        <v>83</v>
      </c>
      <c r="K16" s="9"/>
      <c r="L16" s="9"/>
      <c r="M16" s="9"/>
      <c r="N16" s="9">
        <f t="shared" si="0"/>
        <v>979</v>
      </c>
      <c r="O16" s="15"/>
    </row>
    <row r="17" spans="1:15" x14ac:dyDescent="0.25">
      <c r="A17" s="12" t="s">
        <v>75</v>
      </c>
      <c r="B17" s="9">
        <v>828</v>
      </c>
      <c r="C17" s="9">
        <v>1260</v>
      </c>
      <c r="D17" s="9">
        <v>984</v>
      </c>
      <c r="E17" s="9">
        <v>1223</v>
      </c>
      <c r="F17" s="9">
        <v>1730</v>
      </c>
      <c r="G17" s="9">
        <v>1719</v>
      </c>
      <c r="H17" s="9">
        <v>2823</v>
      </c>
      <c r="I17" s="9">
        <v>2597</v>
      </c>
      <c r="J17" s="9">
        <v>989</v>
      </c>
      <c r="K17" s="9"/>
      <c r="L17" s="9">
        <v>1419</v>
      </c>
      <c r="M17" s="9">
        <v>1755</v>
      </c>
      <c r="N17" s="9">
        <f t="shared" si="0"/>
        <v>17327</v>
      </c>
      <c r="O17" s="15"/>
    </row>
    <row r="18" spans="1:15" x14ac:dyDescent="0.25">
      <c r="A18" s="12" t="s">
        <v>6</v>
      </c>
      <c r="B18" s="9">
        <v>634</v>
      </c>
      <c r="C18" s="9">
        <v>709</v>
      </c>
      <c r="D18" s="9">
        <v>740</v>
      </c>
      <c r="E18" s="9">
        <v>981</v>
      </c>
      <c r="F18" s="9">
        <v>1295</v>
      </c>
      <c r="G18" s="9">
        <v>1354</v>
      </c>
      <c r="H18" s="9">
        <v>2391</v>
      </c>
      <c r="I18" s="9">
        <v>2331</v>
      </c>
      <c r="J18" s="9">
        <v>1427</v>
      </c>
      <c r="K18" s="9">
        <v>1175</v>
      </c>
      <c r="L18" s="9">
        <v>1197</v>
      </c>
      <c r="M18" s="9">
        <v>918</v>
      </c>
      <c r="N18" s="9">
        <f t="shared" si="0"/>
        <v>15152</v>
      </c>
      <c r="O18" s="15"/>
    </row>
    <row r="19" spans="1:15" x14ac:dyDescent="0.25">
      <c r="A19" s="12" t="s">
        <v>62</v>
      </c>
      <c r="B19" s="9">
        <v>11</v>
      </c>
      <c r="C19" s="9">
        <v>15</v>
      </c>
      <c r="D19" s="9">
        <v>21</v>
      </c>
      <c r="E19" s="9">
        <v>14</v>
      </c>
      <c r="F19" s="9">
        <v>12</v>
      </c>
      <c r="G19" s="9">
        <v>19</v>
      </c>
      <c r="H19" s="9">
        <v>16</v>
      </c>
      <c r="I19" s="9">
        <v>15</v>
      </c>
      <c r="J19" s="9">
        <v>14</v>
      </c>
      <c r="K19" s="9">
        <v>2</v>
      </c>
      <c r="L19" s="16">
        <v>25</v>
      </c>
      <c r="M19" s="16">
        <v>16</v>
      </c>
      <c r="N19" s="9">
        <f t="shared" si="0"/>
        <v>180</v>
      </c>
      <c r="O19" s="15"/>
    </row>
    <row r="20" spans="1:15" x14ac:dyDescent="0.25">
      <c r="A20" s="12" t="s">
        <v>63</v>
      </c>
      <c r="B20" s="9">
        <v>1</v>
      </c>
      <c r="C20" s="9">
        <v>10</v>
      </c>
      <c r="D20" s="9">
        <v>19</v>
      </c>
      <c r="E20" s="9">
        <v>20</v>
      </c>
      <c r="F20" s="9">
        <v>29</v>
      </c>
      <c r="G20" s="9">
        <v>28</v>
      </c>
      <c r="H20" s="9">
        <v>67</v>
      </c>
      <c r="I20" s="9">
        <v>73</v>
      </c>
      <c r="J20" s="9">
        <v>39</v>
      </c>
      <c r="K20" s="9">
        <v>5</v>
      </c>
      <c r="L20" s="9">
        <v>10</v>
      </c>
      <c r="M20" s="9">
        <v>6</v>
      </c>
      <c r="N20" s="9">
        <f t="shared" si="0"/>
        <v>307</v>
      </c>
      <c r="O20" s="15"/>
    </row>
    <row r="21" spans="1:15" x14ac:dyDescent="0.25">
      <c r="A21" s="12" t="s">
        <v>11</v>
      </c>
      <c r="B21" s="9">
        <v>20</v>
      </c>
      <c r="C21" s="9">
        <v>15</v>
      </c>
      <c r="D21" s="9">
        <v>23</v>
      </c>
      <c r="E21" s="9">
        <v>16</v>
      </c>
      <c r="F21" s="9">
        <v>20</v>
      </c>
      <c r="G21" s="9">
        <v>13</v>
      </c>
      <c r="H21" s="9">
        <v>0</v>
      </c>
      <c r="I21" s="9">
        <v>0</v>
      </c>
      <c r="J21" s="9">
        <v>19</v>
      </c>
      <c r="K21" s="9">
        <v>20</v>
      </c>
      <c r="L21" s="9">
        <v>19</v>
      </c>
      <c r="M21" s="9">
        <v>12</v>
      </c>
      <c r="N21" s="9">
        <f t="shared" si="0"/>
        <v>177</v>
      </c>
      <c r="O21" s="15"/>
    </row>
    <row r="22" spans="1:15" x14ac:dyDescent="0.25">
      <c r="A22" s="12" t="s">
        <v>12</v>
      </c>
      <c r="B22" s="9">
        <v>4</v>
      </c>
      <c r="C22" s="9">
        <v>9</v>
      </c>
      <c r="D22" s="9">
        <v>5</v>
      </c>
      <c r="E22" s="9">
        <v>4</v>
      </c>
      <c r="F22" s="9">
        <v>41</v>
      </c>
      <c r="G22" s="9">
        <v>9</v>
      </c>
      <c r="H22" s="9">
        <v>4</v>
      </c>
      <c r="I22" s="9">
        <v>8</v>
      </c>
      <c r="J22" s="9">
        <v>13</v>
      </c>
      <c r="K22" s="9"/>
      <c r="L22" s="9">
        <v>3</v>
      </c>
      <c r="M22" s="9">
        <v>8</v>
      </c>
      <c r="N22" s="9">
        <f t="shared" si="0"/>
        <v>108</v>
      </c>
      <c r="O22" s="15"/>
    </row>
    <row r="23" spans="1:15" x14ac:dyDescent="0.25">
      <c r="A23" s="12" t="s">
        <v>64</v>
      </c>
      <c r="B23" s="9">
        <v>1</v>
      </c>
      <c r="C23" s="9">
        <v>38</v>
      </c>
      <c r="D23" s="9">
        <v>29</v>
      </c>
      <c r="E23" s="9">
        <v>9</v>
      </c>
      <c r="F23" s="9">
        <v>68</v>
      </c>
      <c r="G23" s="9">
        <v>44</v>
      </c>
      <c r="H23" s="9">
        <v>50</v>
      </c>
      <c r="I23" s="9">
        <v>46</v>
      </c>
      <c r="J23" s="9">
        <v>42</v>
      </c>
      <c r="K23" s="9"/>
      <c r="L23" s="9">
        <v>28</v>
      </c>
      <c r="M23" s="9">
        <v>58</v>
      </c>
      <c r="N23" s="9">
        <f t="shared" si="0"/>
        <v>413</v>
      </c>
      <c r="O23" s="15"/>
    </row>
    <row r="24" spans="1:15" x14ac:dyDescent="0.25">
      <c r="A24" s="12" t="s">
        <v>76</v>
      </c>
      <c r="B24" s="9">
        <v>88</v>
      </c>
      <c r="C24" s="9">
        <v>134</v>
      </c>
      <c r="D24" s="9">
        <v>102</v>
      </c>
      <c r="E24" s="9">
        <v>137</v>
      </c>
      <c r="F24" s="9">
        <v>173</v>
      </c>
      <c r="G24" s="9">
        <v>186</v>
      </c>
      <c r="H24" s="9">
        <v>294</v>
      </c>
      <c r="I24" s="9">
        <v>267</v>
      </c>
      <c r="J24" s="9">
        <v>111</v>
      </c>
      <c r="K24" s="9"/>
      <c r="L24" s="9">
        <v>199</v>
      </c>
      <c r="M24" s="9">
        <v>295</v>
      </c>
      <c r="N24" s="9">
        <f t="shared" si="0"/>
        <v>1986</v>
      </c>
      <c r="O24" s="15"/>
    </row>
    <row r="25" spans="1:15" x14ac:dyDescent="0.25">
      <c r="A25" s="12" t="s">
        <v>15</v>
      </c>
      <c r="B25" s="9">
        <v>325</v>
      </c>
      <c r="C25" s="9">
        <v>450</v>
      </c>
      <c r="D25" s="9">
        <v>425</v>
      </c>
      <c r="E25" s="9">
        <v>625</v>
      </c>
      <c r="F25" s="9">
        <v>425</v>
      </c>
      <c r="G25" s="9">
        <v>725</v>
      </c>
      <c r="H25" s="9">
        <v>975</v>
      </c>
      <c r="I25" s="9">
        <v>850</v>
      </c>
      <c r="J25" s="9">
        <v>400</v>
      </c>
      <c r="K25" s="9">
        <v>325</v>
      </c>
      <c r="L25" s="9">
        <v>550</v>
      </c>
      <c r="M25" s="9">
        <v>250</v>
      </c>
      <c r="N25" s="9">
        <f t="shared" si="0"/>
        <v>6325</v>
      </c>
      <c r="O25" s="15"/>
    </row>
    <row r="26" spans="1:15" x14ac:dyDescent="0.25">
      <c r="A26" s="12" t="s">
        <v>65</v>
      </c>
      <c r="B26" s="9">
        <v>159</v>
      </c>
      <c r="C26" s="9">
        <v>192</v>
      </c>
      <c r="D26" s="9">
        <v>186</v>
      </c>
      <c r="E26" s="9">
        <v>192</v>
      </c>
      <c r="F26" s="9">
        <v>233</v>
      </c>
      <c r="G26" s="9">
        <v>282</v>
      </c>
      <c r="H26" s="9">
        <v>272</v>
      </c>
      <c r="I26" s="9">
        <v>318</v>
      </c>
      <c r="J26" s="9">
        <v>139</v>
      </c>
      <c r="K26" s="9"/>
      <c r="L26" s="9">
        <v>166</v>
      </c>
      <c r="M26" s="9">
        <v>185</v>
      </c>
      <c r="N26" s="9">
        <f t="shared" si="0"/>
        <v>2324</v>
      </c>
      <c r="O26" s="15"/>
    </row>
    <row r="27" spans="1:15" x14ac:dyDescent="0.25">
      <c r="A27" s="12" t="s">
        <v>66</v>
      </c>
      <c r="B27" s="9">
        <v>70</v>
      </c>
      <c r="C27" s="9">
        <v>61</v>
      </c>
      <c r="D27" s="9">
        <v>104</v>
      </c>
      <c r="E27" s="9">
        <v>119</v>
      </c>
      <c r="F27" s="9">
        <v>129</v>
      </c>
      <c r="G27" s="9">
        <v>101</v>
      </c>
      <c r="H27" s="9">
        <v>109</v>
      </c>
      <c r="I27" s="9">
        <v>117</v>
      </c>
      <c r="J27" s="9">
        <v>68</v>
      </c>
      <c r="K27" s="9"/>
      <c r="L27" s="9">
        <v>121</v>
      </c>
      <c r="M27" s="9">
        <v>126</v>
      </c>
      <c r="N27" s="9">
        <f t="shared" si="0"/>
        <v>1125</v>
      </c>
      <c r="O27" s="15"/>
    </row>
    <row r="28" spans="1:15" x14ac:dyDescent="0.25">
      <c r="A28" s="12" t="s">
        <v>67</v>
      </c>
      <c r="B28" s="9">
        <v>26</v>
      </c>
      <c r="C28" s="9">
        <v>23</v>
      </c>
      <c r="D28" s="9">
        <v>28</v>
      </c>
      <c r="E28" s="9">
        <v>46</v>
      </c>
      <c r="F28" s="9">
        <v>55</v>
      </c>
      <c r="G28" s="9">
        <v>64</v>
      </c>
      <c r="H28" s="9">
        <v>78</v>
      </c>
      <c r="I28" s="9">
        <v>76</v>
      </c>
      <c r="J28" s="9">
        <v>36</v>
      </c>
      <c r="K28" s="9"/>
      <c r="L28" s="9">
        <v>40</v>
      </c>
      <c r="M28" s="9">
        <v>34</v>
      </c>
      <c r="N28" s="9">
        <f t="shared" si="0"/>
        <v>506</v>
      </c>
      <c r="O28" s="15"/>
    </row>
    <row r="29" spans="1:15" x14ac:dyDescent="0.25">
      <c r="A29" s="12" t="s">
        <v>68</v>
      </c>
      <c r="B29" s="9">
        <v>11</v>
      </c>
      <c r="C29" s="9">
        <v>34</v>
      </c>
      <c r="D29" s="9">
        <v>51</v>
      </c>
      <c r="E29" s="9">
        <v>62</v>
      </c>
      <c r="F29" s="9">
        <v>63</v>
      </c>
      <c r="G29" s="9">
        <v>68</v>
      </c>
      <c r="H29" s="9">
        <v>75</v>
      </c>
      <c r="I29" s="9">
        <v>80</v>
      </c>
      <c r="J29" s="9">
        <v>61</v>
      </c>
      <c r="K29" s="9"/>
      <c r="L29" s="9">
        <v>47</v>
      </c>
      <c r="M29" s="9">
        <v>41</v>
      </c>
      <c r="N29" s="9">
        <f t="shared" si="0"/>
        <v>593</v>
      </c>
      <c r="O29" s="15"/>
    </row>
    <row r="30" spans="1:15" x14ac:dyDescent="0.25">
      <c r="A30" s="12" t="s">
        <v>69</v>
      </c>
      <c r="B30" s="9">
        <v>18</v>
      </c>
      <c r="C30" s="9">
        <v>11</v>
      </c>
      <c r="D30" s="9">
        <v>17</v>
      </c>
      <c r="E30" s="9">
        <v>21</v>
      </c>
      <c r="F30" s="9">
        <v>42</v>
      </c>
      <c r="G30" s="9">
        <v>22</v>
      </c>
      <c r="H30" s="9">
        <v>52</v>
      </c>
      <c r="I30" s="9">
        <v>35</v>
      </c>
      <c r="J30" s="9">
        <v>22</v>
      </c>
      <c r="K30" s="9"/>
      <c r="L30" s="9">
        <v>25</v>
      </c>
      <c r="M30" s="9">
        <v>21</v>
      </c>
      <c r="N30" s="9">
        <f t="shared" si="0"/>
        <v>286</v>
      </c>
      <c r="O30" s="15"/>
    </row>
    <row r="31" spans="1:15" x14ac:dyDescent="0.25">
      <c r="A31" s="12" t="s">
        <v>70</v>
      </c>
      <c r="B31" s="9">
        <v>1</v>
      </c>
      <c r="C31" s="9">
        <v>5</v>
      </c>
      <c r="D31" s="9">
        <v>4</v>
      </c>
      <c r="E31" s="9">
        <v>3</v>
      </c>
      <c r="F31" s="9">
        <v>14</v>
      </c>
      <c r="G31" s="9">
        <v>17</v>
      </c>
      <c r="H31" s="9">
        <v>12</v>
      </c>
      <c r="I31" s="9">
        <v>21</v>
      </c>
      <c r="J31" s="9">
        <v>12</v>
      </c>
      <c r="K31" s="9"/>
      <c r="L31" s="9">
        <v>7</v>
      </c>
      <c r="M31" s="9">
        <v>4</v>
      </c>
      <c r="N31" s="9">
        <f t="shared" si="0"/>
        <v>100</v>
      </c>
      <c r="O31" s="15"/>
    </row>
    <row r="32" spans="1:15" x14ac:dyDescent="0.25">
      <c r="A32" s="12" t="s">
        <v>71</v>
      </c>
      <c r="B32" s="9">
        <v>1</v>
      </c>
      <c r="C32" s="9">
        <v>6</v>
      </c>
      <c r="D32" s="9">
        <v>5</v>
      </c>
      <c r="E32" s="9">
        <v>8</v>
      </c>
      <c r="F32" s="9">
        <v>10</v>
      </c>
      <c r="G32" s="9">
        <v>2</v>
      </c>
      <c r="H32" s="9">
        <v>8</v>
      </c>
      <c r="I32" s="9">
        <v>5</v>
      </c>
      <c r="J32" s="9">
        <v>3</v>
      </c>
      <c r="K32" s="9"/>
      <c r="L32" s="9">
        <v>7</v>
      </c>
      <c r="M32" s="9">
        <v>1</v>
      </c>
      <c r="N32" s="9">
        <f t="shared" si="0"/>
        <v>56</v>
      </c>
      <c r="O32" s="15"/>
    </row>
    <row r="33" spans="1:15" x14ac:dyDescent="0.25">
      <c r="A33" s="12" t="s">
        <v>72</v>
      </c>
      <c r="B33" s="9">
        <v>4</v>
      </c>
      <c r="C33" s="9">
        <v>3</v>
      </c>
      <c r="D33" s="9">
        <v>2</v>
      </c>
      <c r="E33" s="9">
        <v>6</v>
      </c>
      <c r="F33" s="9">
        <v>5</v>
      </c>
      <c r="G33" s="9">
        <v>7</v>
      </c>
      <c r="H33" s="9">
        <v>6</v>
      </c>
      <c r="I33" s="9">
        <v>5</v>
      </c>
      <c r="J33" s="9">
        <v>8</v>
      </c>
      <c r="K33" s="9"/>
      <c r="L33" s="9">
        <v>3</v>
      </c>
      <c r="M33" s="9">
        <v>5</v>
      </c>
      <c r="N33" s="9">
        <f t="shared" si="0"/>
        <v>54</v>
      </c>
      <c r="O33" s="15"/>
    </row>
    <row r="34" spans="1:15" x14ac:dyDescent="0.25">
      <c r="A34" s="12" t="s">
        <v>73</v>
      </c>
      <c r="B34" s="9">
        <v>4</v>
      </c>
      <c r="C34" s="9">
        <v>5</v>
      </c>
      <c r="D34" s="9">
        <v>4</v>
      </c>
      <c r="E34" s="9">
        <v>4</v>
      </c>
      <c r="F34" s="9">
        <v>18</v>
      </c>
      <c r="G34" s="9">
        <v>6</v>
      </c>
      <c r="H34" s="9">
        <v>8</v>
      </c>
      <c r="I34" s="9">
        <v>10</v>
      </c>
      <c r="J34" s="9">
        <v>4</v>
      </c>
      <c r="K34" s="9"/>
      <c r="L34" s="9">
        <v>3</v>
      </c>
      <c r="M34" s="9">
        <v>7</v>
      </c>
      <c r="N34" s="9">
        <f t="shared" si="0"/>
        <v>73</v>
      </c>
      <c r="O34" s="15"/>
    </row>
    <row r="35" spans="1:15" x14ac:dyDescent="0.25">
      <c r="A35" s="12" t="s">
        <v>26</v>
      </c>
      <c r="B35" s="9">
        <v>690</v>
      </c>
      <c r="C35" s="9">
        <v>660</v>
      </c>
      <c r="D35" s="9">
        <v>685</v>
      </c>
      <c r="E35" s="9">
        <v>671</v>
      </c>
      <c r="F35" s="9">
        <v>739</v>
      </c>
      <c r="G35" s="9">
        <v>720</v>
      </c>
      <c r="H35" s="9">
        <v>780</v>
      </c>
      <c r="I35" s="9">
        <v>764</v>
      </c>
      <c r="J35" s="9">
        <v>662</v>
      </c>
      <c r="K35" s="9">
        <v>606</v>
      </c>
      <c r="L35" s="16">
        <v>657</v>
      </c>
      <c r="M35" s="16">
        <v>693</v>
      </c>
      <c r="N35" s="9">
        <f t="shared" si="0"/>
        <v>8327</v>
      </c>
      <c r="O35" s="15"/>
    </row>
    <row r="36" spans="1:15" x14ac:dyDescent="0.25">
      <c r="A36" s="12" t="s">
        <v>77</v>
      </c>
      <c r="B36" s="9">
        <v>20</v>
      </c>
      <c r="C36" s="9">
        <v>15</v>
      </c>
      <c r="D36" s="9">
        <v>23</v>
      </c>
      <c r="E36" s="9">
        <v>16</v>
      </c>
      <c r="F36" s="9">
        <v>20</v>
      </c>
      <c r="G36" s="9">
        <v>13</v>
      </c>
      <c r="H36" s="9">
        <v>0</v>
      </c>
      <c r="I36" s="9">
        <v>0</v>
      </c>
      <c r="J36" s="9">
        <v>19</v>
      </c>
      <c r="K36" s="9">
        <v>20</v>
      </c>
      <c r="L36" s="16">
        <v>19</v>
      </c>
      <c r="M36" s="16">
        <v>12</v>
      </c>
      <c r="N36" s="9">
        <f>SUM(B36:M36)</f>
        <v>177</v>
      </c>
      <c r="O36" s="15"/>
    </row>
    <row r="37" spans="1:15" x14ac:dyDescent="0.25">
      <c r="A37" s="12" t="s">
        <v>78</v>
      </c>
      <c r="B37" s="9">
        <v>1</v>
      </c>
      <c r="C37" s="9"/>
      <c r="D37" s="9"/>
      <c r="E37" s="9"/>
      <c r="F37" s="9"/>
      <c r="G37" s="9"/>
      <c r="H37" s="9"/>
      <c r="I37" s="9"/>
      <c r="J37" s="9"/>
      <c r="K37" s="9"/>
      <c r="L37" s="16"/>
      <c r="M37" s="16">
        <v>1</v>
      </c>
      <c r="N37" s="9">
        <f>SUM(B37:M37)</f>
        <v>2</v>
      </c>
      <c r="O37" s="15"/>
    </row>
    <row r="38" spans="1:15" x14ac:dyDescent="0.25">
      <c r="A38" s="12" t="s">
        <v>85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16"/>
      <c r="M38" s="16">
        <v>50</v>
      </c>
      <c r="N38" s="9">
        <f>SUM(B38:M38)</f>
        <v>50</v>
      </c>
      <c r="O38" s="15"/>
    </row>
    <row r="39" spans="1:15" x14ac:dyDescent="0.25">
      <c r="A39" s="17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5"/>
    </row>
    <row r="40" spans="1:15" x14ac:dyDescent="0.25">
      <c r="A40" s="17" t="s">
        <v>86</v>
      </c>
      <c r="B40" s="30">
        <f t="shared" ref="B40:G40" si="2">+B4+B6</f>
        <v>4770</v>
      </c>
      <c r="C40" s="30">
        <f t="shared" si="2"/>
        <v>4930</v>
      </c>
      <c r="D40" s="30">
        <f t="shared" si="2"/>
        <v>4940</v>
      </c>
      <c r="E40" s="30">
        <f t="shared" si="2"/>
        <v>5130</v>
      </c>
      <c r="F40" s="30">
        <f t="shared" si="2"/>
        <v>6780</v>
      </c>
      <c r="G40" s="30">
        <f t="shared" si="2"/>
        <v>6940</v>
      </c>
      <c r="H40" s="30">
        <f t="shared" ref="H40:N40" si="3">+H4+H6</f>
        <v>6920</v>
      </c>
      <c r="I40" s="30">
        <f t="shared" si="3"/>
        <v>5950</v>
      </c>
      <c r="J40" s="30">
        <f t="shared" si="3"/>
        <v>1280</v>
      </c>
      <c r="K40" s="30">
        <f t="shared" si="3"/>
        <v>180</v>
      </c>
      <c r="L40" s="30">
        <f t="shared" si="3"/>
        <v>3770</v>
      </c>
      <c r="M40" s="30">
        <f>+M4+M6+M8+M10+M11+M13</f>
        <v>5200</v>
      </c>
      <c r="N40" s="30">
        <f t="shared" si="3"/>
        <v>54750</v>
      </c>
      <c r="O40" s="15"/>
    </row>
    <row r="41" spans="1:15" x14ac:dyDescent="0.25">
      <c r="A41" s="17" t="s">
        <v>87</v>
      </c>
      <c r="B41" s="30">
        <f t="shared" ref="B41:G41" si="4">+B14+B25</f>
        <v>2785</v>
      </c>
      <c r="C41" s="30">
        <f t="shared" si="4"/>
        <v>2470</v>
      </c>
      <c r="D41" s="30">
        <f t="shared" si="4"/>
        <v>4305</v>
      </c>
      <c r="E41" s="30">
        <f t="shared" si="4"/>
        <v>4245</v>
      </c>
      <c r="F41" s="30">
        <f t="shared" si="4"/>
        <v>4185</v>
      </c>
      <c r="G41" s="30">
        <f t="shared" si="4"/>
        <v>4785</v>
      </c>
      <c r="H41" s="30">
        <f t="shared" ref="H41:N41" si="5">+H14+H25</f>
        <v>4975</v>
      </c>
      <c r="I41" s="30">
        <f t="shared" si="5"/>
        <v>5190</v>
      </c>
      <c r="J41" s="30">
        <f t="shared" si="5"/>
        <v>6575</v>
      </c>
      <c r="K41" s="30">
        <f t="shared" si="5"/>
        <v>7025</v>
      </c>
      <c r="L41" s="30">
        <f t="shared" si="5"/>
        <v>4275</v>
      </c>
      <c r="M41" s="30">
        <f>+M14+M25+M9+M12+M38</f>
        <v>4315</v>
      </c>
      <c r="N41" s="30">
        <f t="shared" si="5"/>
        <v>53340</v>
      </c>
      <c r="O41" s="15"/>
    </row>
    <row r="42" spans="1:15" x14ac:dyDescent="0.25">
      <c r="A42" s="12" t="s">
        <v>50</v>
      </c>
      <c r="B42" s="30">
        <f>B4+B5+B6+B7+B20+B24+B17+B26+B27+B28+B29+B30+B31+B32+B33+B34+B37</f>
        <v>6002</v>
      </c>
      <c r="C42" s="30">
        <f t="shared" ref="C42:N42" si="6">C4+C5+C6+C7+C20+C24+C17+C26+C27+C28+C29+C30+C31+C32+C33+C34+C37</f>
        <v>6694</v>
      </c>
      <c r="D42" s="30">
        <f t="shared" si="6"/>
        <v>6506</v>
      </c>
      <c r="E42" s="30">
        <f t="shared" si="6"/>
        <v>7061</v>
      </c>
      <c r="F42" s="30">
        <f t="shared" si="6"/>
        <v>9461</v>
      </c>
      <c r="G42" s="30">
        <f t="shared" si="6"/>
        <v>9482</v>
      </c>
      <c r="H42" s="30">
        <f t="shared" si="6"/>
        <v>10874</v>
      </c>
      <c r="I42" s="30">
        <f t="shared" si="6"/>
        <v>9694</v>
      </c>
      <c r="J42" s="30">
        <f t="shared" si="6"/>
        <v>2812</v>
      </c>
      <c r="K42" s="30">
        <f t="shared" si="6"/>
        <v>235</v>
      </c>
      <c r="L42" s="30">
        <f t="shared" si="6"/>
        <v>5857</v>
      </c>
      <c r="M42" s="30">
        <f t="shared" si="6"/>
        <v>5641</v>
      </c>
      <c r="N42" s="30">
        <f t="shared" si="6"/>
        <v>80319</v>
      </c>
      <c r="O42" s="15"/>
    </row>
    <row r="43" spans="1:15" x14ac:dyDescent="0.25">
      <c r="A43" s="12" t="s">
        <v>28</v>
      </c>
      <c r="B43" s="30">
        <f>+B4+B5+B6+B7+B14+B15+B16+B17+B18+B19+B20+B23+B24+B25+B26+B27+B28+B29+B30+B31+B32+B33+B34+B37</f>
        <v>10704</v>
      </c>
      <c r="C43" s="30">
        <f t="shared" ref="C43:L43" si="7">+C4+C5+C6+C7+C14+C15+C16+C17+C18+C19+C20+C23+C24+C25+C26+C27+C28+C29+C30+C31+C32+C33+C34+C37</f>
        <v>11252</v>
      </c>
      <c r="D43" s="30">
        <f t="shared" si="7"/>
        <v>13338</v>
      </c>
      <c r="E43" s="30">
        <f t="shared" si="7"/>
        <v>14150</v>
      </c>
      <c r="F43" s="30">
        <f t="shared" si="7"/>
        <v>17347</v>
      </c>
      <c r="G43" s="30">
        <f t="shared" si="7"/>
        <v>18163</v>
      </c>
      <c r="H43" s="30">
        <f t="shared" si="7"/>
        <v>22830</v>
      </c>
      <c r="I43" s="30">
        <f t="shared" si="7"/>
        <v>21603</v>
      </c>
      <c r="J43" s="30">
        <f t="shared" si="7"/>
        <v>13884</v>
      </c>
      <c r="K43" s="30">
        <f t="shared" si="7"/>
        <v>10726</v>
      </c>
      <c r="L43" s="30">
        <f t="shared" si="7"/>
        <v>13302</v>
      </c>
      <c r="M43" s="30">
        <f>+M4+M5+M6+M7+M14+M15+M16+M17+M18+M19+M20+M23+M24+M25+M26+M27+M28+M29+M30+M31+M32+M33+M34+M37+M9+M10+M11+M12+M13+M38+M8</f>
        <v>14853</v>
      </c>
      <c r="N43" s="30">
        <f>+N4+N5+N6+N7+N14+N15+N16+N17+N18+N19+N20+N23+N24+N25+N26+N27+N28+N29+N30+N31+N32+N33+N34+N37+N9+N10+N11+N12+N13+N38+N8</f>
        <v>182152</v>
      </c>
      <c r="O43" s="15"/>
    </row>
    <row r="44" spans="1:15" x14ac:dyDescent="0.25">
      <c r="A44" s="12" t="s">
        <v>46</v>
      </c>
      <c r="B44" s="30">
        <f>SUM(B4:B34)-B22+B37</f>
        <v>10724</v>
      </c>
      <c r="C44" s="30">
        <f t="shared" ref="C44:N44" si="8">SUM(C4:C34)-C22+C37</f>
        <v>11267</v>
      </c>
      <c r="D44" s="30">
        <f t="shared" si="8"/>
        <v>13361</v>
      </c>
      <c r="E44" s="30">
        <f t="shared" si="8"/>
        <v>14166</v>
      </c>
      <c r="F44" s="30">
        <f t="shared" si="8"/>
        <v>17367</v>
      </c>
      <c r="G44" s="30">
        <f t="shared" si="8"/>
        <v>18176</v>
      </c>
      <c r="H44" s="30">
        <f t="shared" si="8"/>
        <v>22830</v>
      </c>
      <c r="I44" s="30">
        <f t="shared" si="8"/>
        <v>21603</v>
      </c>
      <c r="J44" s="30">
        <f t="shared" si="8"/>
        <v>13903</v>
      </c>
      <c r="K44" s="30">
        <f t="shared" si="8"/>
        <v>10746</v>
      </c>
      <c r="L44" s="30">
        <f t="shared" si="8"/>
        <v>13321</v>
      </c>
      <c r="M44" s="30">
        <f>SUM(M4:M34)-M22+M37+M38</f>
        <v>14865</v>
      </c>
      <c r="N44" s="30">
        <f t="shared" si="8"/>
        <v>182279</v>
      </c>
      <c r="O44" s="15"/>
    </row>
    <row r="45" spans="1:15" x14ac:dyDescent="0.25">
      <c r="A45" s="12" t="s">
        <v>52</v>
      </c>
      <c r="B45" s="30">
        <f t="shared" ref="B45:L45" si="9">+B14+B15+B18+B23+B25+B9+B12+B38+B16</f>
        <v>4691</v>
      </c>
      <c r="C45" s="30">
        <f t="shared" si="9"/>
        <v>4543</v>
      </c>
      <c r="D45" s="30">
        <f t="shared" si="9"/>
        <v>6811</v>
      </c>
      <c r="E45" s="30">
        <f t="shared" si="9"/>
        <v>7075</v>
      </c>
      <c r="F45" s="30">
        <f t="shared" si="9"/>
        <v>7874</v>
      </c>
      <c r="G45" s="30">
        <f t="shared" si="9"/>
        <v>8662</v>
      </c>
      <c r="H45" s="30">
        <f t="shared" si="9"/>
        <v>11940</v>
      </c>
      <c r="I45" s="30">
        <f t="shared" si="9"/>
        <v>11894</v>
      </c>
      <c r="J45" s="30">
        <f t="shared" si="9"/>
        <v>11058</v>
      </c>
      <c r="K45" s="30">
        <f t="shared" si="9"/>
        <v>10489</v>
      </c>
      <c r="L45" s="30">
        <f t="shared" si="9"/>
        <v>7420</v>
      </c>
      <c r="M45" s="30">
        <f>+M14+M15+M18+M23+M25+M9+M12+M38+M16</f>
        <v>7156</v>
      </c>
      <c r="N45" s="30">
        <f>+N14+N15+N18+N23+N25</f>
        <v>96844</v>
      </c>
      <c r="O45" s="15"/>
    </row>
    <row r="46" spans="1:15" x14ac:dyDescent="0.25">
      <c r="A46" s="15"/>
      <c r="B46" s="18">
        <f>SUM(B4:B37)</f>
        <v>11438</v>
      </c>
      <c r="C46" s="18">
        <f>SUM(C4:C37)</f>
        <v>11951</v>
      </c>
      <c r="D46" s="18">
        <f t="shared" ref="D46:N46" si="10">SUM(D4:D37)</f>
        <v>14074</v>
      </c>
      <c r="E46" s="18">
        <f t="shared" si="10"/>
        <v>14857</v>
      </c>
      <c r="F46" s="18">
        <f t="shared" si="10"/>
        <v>18167</v>
      </c>
      <c r="G46" s="18">
        <f t="shared" si="10"/>
        <v>18918</v>
      </c>
      <c r="H46" s="18">
        <f t="shared" si="10"/>
        <v>23614</v>
      </c>
      <c r="I46" s="18">
        <f t="shared" si="10"/>
        <v>22375</v>
      </c>
      <c r="J46" s="18">
        <f t="shared" si="10"/>
        <v>14597</v>
      </c>
      <c r="K46" s="18">
        <f t="shared" si="10"/>
        <v>11372</v>
      </c>
      <c r="L46" s="18">
        <f t="shared" si="10"/>
        <v>14000</v>
      </c>
      <c r="M46" s="18">
        <f>SUM(M4:M38)</f>
        <v>15578</v>
      </c>
      <c r="N46" s="18">
        <f t="shared" si="10"/>
        <v>190891</v>
      </c>
    </row>
    <row r="47" spans="1:15" x14ac:dyDescent="0.25">
      <c r="A47" s="19"/>
    </row>
    <row r="50" spans="1:14" x14ac:dyDescent="0.25">
      <c r="A50" s="39" t="s">
        <v>179</v>
      </c>
      <c r="B50" s="40">
        <f>+B4+B5+B6+B7+B8+B10+B11+B13</f>
        <v>4790</v>
      </c>
      <c r="C50" s="40">
        <f t="shared" ref="C50:M50" si="11">+C4+C5+C6+C7+C8+C10+C11+C13</f>
        <v>4950</v>
      </c>
      <c r="D50" s="40">
        <f t="shared" si="11"/>
        <v>5000</v>
      </c>
      <c r="E50" s="40">
        <f t="shared" si="11"/>
        <v>5220</v>
      </c>
      <c r="F50" s="40">
        <f t="shared" si="11"/>
        <v>6960</v>
      </c>
      <c r="G50" s="40">
        <f t="shared" si="11"/>
        <v>6980</v>
      </c>
      <c r="H50" s="40">
        <f t="shared" si="11"/>
        <v>7070</v>
      </c>
      <c r="I50" s="40">
        <f t="shared" si="11"/>
        <v>6090</v>
      </c>
      <c r="J50" s="40">
        <f t="shared" si="11"/>
        <v>1320</v>
      </c>
      <c r="K50" s="40">
        <f t="shared" si="11"/>
        <v>230</v>
      </c>
      <c r="L50" s="40">
        <f t="shared" si="11"/>
        <v>3810</v>
      </c>
      <c r="M50" s="40">
        <f t="shared" si="11"/>
        <v>5200</v>
      </c>
      <c r="N50" s="40">
        <f>SUM(B50:M50)</f>
        <v>57620</v>
      </c>
    </row>
    <row r="51" spans="1:14" x14ac:dyDescent="0.25">
      <c r="A51" s="39" t="s">
        <v>177</v>
      </c>
      <c r="B51" s="40">
        <f>+B17+B24</f>
        <v>916</v>
      </c>
      <c r="C51" s="40">
        <f t="shared" ref="C51:M51" si="12">+C17+C24</f>
        <v>1394</v>
      </c>
      <c r="D51" s="40">
        <f t="shared" si="12"/>
        <v>1086</v>
      </c>
      <c r="E51" s="40">
        <f t="shared" si="12"/>
        <v>1360</v>
      </c>
      <c r="F51" s="40">
        <f t="shared" si="12"/>
        <v>1903</v>
      </c>
      <c r="G51" s="40">
        <f t="shared" si="12"/>
        <v>1905</v>
      </c>
      <c r="H51" s="40">
        <f t="shared" si="12"/>
        <v>3117</v>
      </c>
      <c r="I51" s="40">
        <f t="shared" si="12"/>
        <v>2864</v>
      </c>
      <c r="J51" s="40">
        <f t="shared" si="12"/>
        <v>1100</v>
      </c>
      <c r="K51" s="40">
        <f t="shared" si="12"/>
        <v>0</v>
      </c>
      <c r="L51" s="40">
        <f t="shared" si="12"/>
        <v>1618</v>
      </c>
      <c r="M51" s="40">
        <f t="shared" si="12"/>
        <v>2050</v>
      </c>
      <c r="N51" s="40">
        <f t="shared" ref="N51:N56" si="13">SUM(B51:M51)</f>
        <v>19313</v>
      </c>
    </row>
    <row r="52" spans="1:14" x14ac:dyDescent="0.25">
      <c r="A52" s="33" t="s">
        <v>178</v>
      </c>
      <c r="B52" s="40">
        <f>+B20</f>
        <v>1</v>
      </c>
      <c r="C52" s="40">
        <f t="shared" ref="C52:M52" si="14">+C20</f>
        <v>10</v>
      </c>
      <c r="D52" s="40">
        <f t="shared" si="14"/>
        <v>19</v>
      </c>
      <c r="E52" s="40">
        <f t="shared" si="14"/>
        <v>20</v>
      </c>
      <c r="F52" s="40">
        <f t="shared" si="14"/>
        <v>29</v>
      </c>
      <c r="G52" s="40">
        <f t="shared" si="14"/>
        <v>28</v>
      </c>
      <c r="H52" s="40">
        <f t="shared" si="14"/>
        <v>67</v>
      </c>
      <c r="I52" s="40">
        <f t="shared" si="14"/>
        <v>73</v>
      </c>
      <c r="J52" s="40">
        <f t="shared" si="14"/>
        <v>39</v>
      </c>
      <c r="K52" s="40">
        <f t="shared" si="14"/>
        <v>5</v>
      </c>
      <c r="L52" s="40">
        <f t="shared" si="14"/>
        <v>10</v>
      </c>
      <c r="M52" s="40">
        <f t="shared" si="14"/>
        <v>6</v>
      </c>
      <c r="N52" s="40">
        <f t="shared" si="13"/>
        <v>307</v>
      </c>
    </row>
    <row r="53" spans="1:14" x14ac:dyDescent="0.25">
      <c r="A53" s="33" t="s">
        <v>180</v>
      </c>
      <c r="B53" s="40">
        <f>+B26+B27+B28+B29+B30+B31+B32+B33+B34</f>
        <v>294</v>
      </c>
      <c r="C53" s="40">
        <f t="shared" ref="C53:M53" si="15">+C26+C27+C28+C29+C30+C31+C32+C33+C34</f>
        <v>340</v>
      </c>
      <c r="D53" s="40">
        <f t="shared" si="15"/>
        <v>401</v>
      </c>
      <c r="E53" s="40">
        <f t="shared" si="15"/>
        <v>461</v>
      </c>
      <c r="F53" s="40">
        <f t="shared" si="15"/>
        <v>569</v>
      </c>
      <c r="G53" s="40">
        <f t="shared" si="15"/>
        <v>569</v>
      </c>
      <c r="H53" s="40">
        <f t="shared" si="15"/>
        <v>620</v>
      </c>
      <c r="I53" s="40">
        <f t="shared" si="15"/>
        <v>667</v>
      </c>
      <c r="J53" s="40">
        <f t="shared" si="15"/>
        <v>353</v>
      </c>
      <c r="K53" s="40">
        <f t="shared" si="15"/>
        <v>0</v>
      </c>
      <c r="L53" s="40">
        <f t="shared" si="15"/>
        <v>419</v>
      </c>
      <c r="M53" s="40">
        <f t="shared" si="15"/>
        <v>424</v>
      </c>
      <c r="N53" s="40">
        <f t="shared" si="13"/>
        <v>5117</v>
      </c>
    </row>
    <row r="54" spans="1:14" x14ac:dyDescent="0.25">
      <c r="A54" s="33" t="s">
        <v>157</v>
      </c>
      <c r="B54" s="40">
        <f>+B9+B12+B14+B25</f>
        <v>2785</v>
      </c>
      <c r="C54" s="40">
        <f t="shared" ref="C54:M54" si="16">+C9+C12+C14+C25</f>
        <v>2470</v>
      </c>
      <c r="D54" s="40">
        <f t="shared" si="16"/>
        <v>4305</v>
      </c>
      <c r="E54" s="40">
        <f t="shared" si="16"/>
        <v>4245</v>
      </c>
      <c r="F54" s="40">
        <f t="shared" si="16"/>
        <v>4185</v>
      </c>
      <c r="G54" s="40">
        <f t="shared" si="16"/>
        <v>4785</v>
      </c>
      <c r="H54" s="40">
        <f t="shared" si="16"/>
        <v>4975</v>
      </c>
      <c r="I54" s="40">
        <f t="shared" si="16"/>
        <v>5190</v>
      </c>
      <c r="J54" s="40">
        <f t="shared" si="16"/>
        <v>6575</v>
      </c>
      <c r="K54" s="40">
        <f t="shared" si="16"/>
        <v>7025</v>
      </c>
      <c r="L54" s="40">
        <f t="shared" si="16"/>
        <v>4275</v>
      </c>
      <c r="M54" s="40">
        <f t="shared" si="16"/>
        <v>4265</v>
      </c>
      <c r="N54" s="40">
        <f t="shared" si="13"/>
        <v>55080</v>
      </c>
    </row>
    <row r="55" spans="1:14" x14ac:dyDescent="0.25">
      <c r="A55" s="33" t="s">
        <v>181</v>
      </c>
      <c r="B55" s="40">
        <f>+B15+B18+B23</f>
        <v>1906</v>
      </c>
      <c r="C55" s="40">
        <f t="shared" ref="C55:M55" si="17">+C15+C18+C23</f>
        <v>2073</v>
      </c>
      <c r="D55" s="40">
        <f t="shared" si="17"/>
        <v>2506</v>
      </c>
      <c r="E55" s="40">
        <f t="shared" si="17"/>
        <v>2830</v>
      </c>
      <c r="F55" s="40">
        <f t="shared" si="17"/>
        <v>3689</v>
      </c>
      <c r="G55" s="40">
        <f t="shared" si="17"/>
        <v>3685</v>
      </c>
      <c r="H55" s="40">
        <f t="shared" si="17"/>
        <v>6641</v>
      </c>
      <c r="I55" s="40">
        <f t="shared" si="17"/>
        <v>6324</v>
      </c>
      <c r="J55" s="40">
        <f t="shared" si="17"/>
        <v>4400</v>
      </c>
      <c r="K55" s="40">
        <f t="shared" si="17"/>
        <v>3464</v>
      </c>
      <c r="L55" s="40">
        <f t="shared" si="17"/>
        <v>3145</v>
      </c>
      <c r="M55" s="40">
        <f t="shared" si="17"/>
        <v>2841</v>
      </c>
      <c r="N55" s="40">
        <f t="shared" si="13"/>
        <v>43504</v>
      </c>
    </row>
    <row r="56" spans="1:14" x14ac:dyDescent="0.25">
      <c r="A56" s="33" t="s">
        <v>182</v>
      </c>
      <c r="B56" s="40">
        <f>+B16</f>
        <v>0</v>
      </c>
      <c r="C56" s="40">
        <f t="shared" ref="C56:M56" si="18">+C16</f>
        <v>0</v>
      </c>
      <c r="D56" s="40">
        <f t="shared" si="18"/>
        <v>0</v>
      </c>
      <c r="E56" s="40">
        <f t="shared" si="18"/>
        <v>0</v>
      </c>
      <c r="F56" s="40">
        <f t="shared" si="18"/>
        <v>0</v>
      </c>
      <c r="G56" s="40">
        <f t="shared" si="18"/>
        <v>192</v>
      </c>
      <c r="H56" s="40">
        <f t="shared" si="18"/>
        <v>324</v>
      </c>
      <c r="I56" s="40">
        <f t="shared" si="18"/>
        <v>380</v>
      </c>
      <c r="J56" s="40">
        <f t="shared" si="18"/>
        <v>83</v>
      </c>
      <c r="K56" s="40">
        <f t="shared" si="18"/>
        <v>0</v>
      </c>
      <c r="L56" s="40">
        <f t="shared" si="18"/>
        <v>0</v>
      </c>
      <c r="M56" s="40">
        <f t="shared" si="18"/>
        <v>0</v>
      </c>
      <c r="N56" s="40">
        <f t="shared" si="13"/>
        <v>979</v>
      </c>
    </row>
  </sheetData>
  <phoneticPr fontId="0" type="noConversion"/>
  <pageMargins left="0.25" right="0.25" top="0.25" bottom="0.25" header="0" footer="0"/>
  <pageSetup scale="91" orientation="landscape" r:id="rId1"/>
  <headerFooter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O40"/>
  <sheetViews>
    <sheetView workbookViewId="0">
      <pane xSplit="1" ySplit="3" topLeftCell="G19" activePane="bottomRight" state="frozen"/>
      <selection pane="topRight" activeCell="B1" sqref="B1"/>
      <selection pane="bottomLeft" activeCell="A4" sqref="A4"/>
      <selection pane="bottomRight" activeCell="M38" sqref="M38"/>
    </sheetView>
  </sheetViews>
  <sheetFormatPr defaultColWidth="9.75" defaultRowHeight="16.2" x14ac:dyDescent="0.25"/>
  <cols>
    <col min="1" max="1" width="28.9140625" style="11" bestFit="1" customWidth="1"/>
    <col min="2" max="13" width="6.75" style="11" customWidth="1"/>
    <col min="14" max="16384" width="9.75" style="11"/>
  </cols>
  <sheetData>
    <row r="1" spans="1:15" ht="18.600000000000001" x14ac:dyDescent="0.25">
      <c r="A1" s="10" t="s">
        <v>100</v>
      </c>
    </row>
    <row r="3" spans="1:15" ht="16.8" x14ac:dyDescent="0.25">
      <c r="A3" s="12" t="s">
        <v>1</v>
      </c>
      <c r="B3" s="13" t="s">
        <v>29</v>
      </c>
      <c r="C3" s="13" t="s">
        <v>30</v>
      </c>
      <c r="D3" s="13" t="s">
        <v>31</v>
      </c>
      <c r="E3" s="13" t="s">
        <v>32</v>
      </c>
      <c r="F3" s="13" t="s">
        <v>33</v>
      </c>
      <c r="G3" s="13" t="s">
        <v>34</v>
      </c>
      <c r="H3" s="13" t="s">
        <v>35</v>
      </c>
      <c r="I3" s="13" t="s">
        <v>36</v>
      </c>
      <c r="J3" s="13" t="s">
        <v>37</v>
      </c>
      <c r="K3" s="13" t="s">
        <v>38</v>
      </c>
      <c r="L3" s="13" t="s">
        <v>39</v>
      </c>
      <c r="M3" s="13" t="s">
        <v>40</v>
      </c>
      <c r="N3" s="14" t="s">
        <v>41</v>
      </c>
      <c r="O3" s="15"/>
    </row>
    <row r="4" spans="1:15" x14ac:dyDescent="0.25">
      <c r="A4" s="12" t="s">
        <v>56</v>
      </c>
      <c r="B4" s="9"/>
      <c r="C4" s="9"/>
      <c r="D4" s="9"/>
      <c r="E4" s="9"/>
      <c r="F4" s="9"/>
      <c r="G4" s="9">
        <v>680</v>
      </c>
      <c r="H4" s="9">
        <v>780</v>
      </c>
      <c r="I4" s="9">
        <v>590</v>
      </c>
      <c r="J4" s="9">
        <v>670</v>
      </c>
      <c r="K4" s="9">
        <v>680</v>
      </c>
      <c r="L4" s="9">
        <v>420</v>
      </c>
      <c r="M4" s="9">
        <v>760</v>
      </c>
      <c r="N4" s="9">
        <f t="shared" ref="N4:N31" si="0">SUM(B4:M4)</f>
        <v>4580</v>
      </c>
      <c r="O4" s="15"/>
    </row>
    <row r="5" spans="1:15" x14ac:dyDescent="0.25">
      <c r="A5" s="12" t="s">
        <v>58</v>
      </c>
      <c r="B5" s="9"/>
      <c r="C5" s="9"/>
      <c r="D5" s="9"/>
      <c r="E5" s="9"/>
      <c r="F5" s="9"/>
      <c r="G5" s="9">
        <v>40</v>
      </c>
      <c r="H5" s="9">
        <v>40</v>
      </c>
      <c r="I5" s="9">
        <v>20</v>
      </c>
      <c r="J5" s="9">
        <v>10</v>
      </c>
      <c r="K5" s="9"/>
      <c r="L5" s="9"/>
      <c r="M5" s="9"/>
      <c r="N5" s="9">
        <f t="shared" si="0"/>
        <v>110</v>
      </c>
      <c r="O5" s="15"/>
    </row>
    <row r="6" spans="1:15" x14ac:dyDescent="0.25">
      <c r="A6" s="12" t="s">
        <v>57</v>
      </c>
      <c r="B6" s="9"/>
      <c r="C6" s="9"/>
      <c r="D6" s="9"/>
      <c r="E6" s="9"/>
      <c r="F6" s="9"/>
      <c r="G6" s="9">
        <v>2520</v>
      </c>
      <c r="H6" s="9">
        <v>4120</v>
      </c>
      <c r="I6" s="9">
        <v>4520</v>
      </c>
      <c r="J6" s="9">
        <v>5060</v>
      </c>
      <c r="K6" s="9">
        <v>4640</v>
      </c>
      <c r="L6" s="9">
        <v>3000</v>
      </c>
      <c r="M6" s="9">
        <v>4240</v>
      </c>
      <c r="N6" s="9">
        <f t="shared" si="0"/>
        <v>28100</v>
      </c>
      <c r="O6" s="15"/>
    </row>
    <row r="7" spans="1:15" x14ac:dyDescent="0.25">
      <c r="A7" s="12" t="s">
        <v>59</v>
      </c>
      <c r="B7" s="9"/>
      <c r="C7" s="9"/>
      <c r="D7" s="9"/>
      <c r="E7" s="9"/>
      <c r="F7" s="9"/>
      <c r="G7" s="9">
        <v>160</v>
      </c>
      <c r="H7" s="9">
        <v>120</v>
      </c>
      <c r="I7" s="9">
        <v>120</v>
      </c>
      <c r="J7" s="9">
        <v>40</v>
      </c>
      <c r="K7" s="9"/>
      <c r="L7" s="9">
        <v>20</v>
      </c>
      <c r="M7" s="9">
        <v>40</v>
      </c>
      <c r="N7" s="9">
        <f t="shared" si="0"/>
        <v>500</v>
      </c>
      <c r="O7" s="15"/>
    </row>
    <row r="8" spans="1:15" x14ac:dyDescent="0.25">
      <c r="A8" s="12" t="s">
        <v>60</v>
      </c>
      <c r="B8" s="9"/>
      <c r="C8" s="9"/>
      <c r="D8" s="9"/>
      <c r="E8" s="9"/>
      <c r="F8" s="9"/>
      <c r="G8" s="9">
        <v>2600</v>
      </c>
      <c r="H8" s="9">
        <v>3920</v>
      </c>
      <c r="I8" s="9">
        <v>3880</v>
      </c>
      <c r="J8" s="9">
        <v>3100</v>
      </c>
      <c r="K8" s="9">
        <v>3300</v>
      </c>
      <c r="L8" s="9">
        <v>3260</v>
      </c>
      <c r="M8" s="9">
        <v>2740</v>
      </c>
      <c r="N8" s="9">
        <f t="shared" si="0"/>
        <v>22800</v>
      </c>
      <c r="O8" s="15"/>
    </row>
    <row r="9" spans="1:15" x14ac:dyDescent="0.25">
      <c r="A9" s="12" t="s">
        <v>5</v>
      </c>
      <c r="B9" s="9"/>
      <c r="C9" s="9"/>
      <c r="D9" s="9"/>
      <c r="E9" s="9"/>
      <c r="F9" s="9"/>
      <c r="G9" s="9">
        <v>2340</v>
      </c>
      <c r="H9" s="9">
        <v>4019</v>
      </c>
      <c r="I9" s="9">
        <v>3666</v>
      </c>
      <c r="J9" s="9">
        <v>2329</v>
      </c>
      <c r="K9" s="9">
        <v>1733</v>
      </c>
      <c r="L9" s="9">
        <v>1679</v>
      </c>
      <c r="M9" s="9">
        <v>1671</v>
      </c>
      <c r="N9" s="9">
        <f t="shared" si="0"/>
        <v>17437</v>
      </c>
      <c r="O9" s="15"/>
    </row>
    <row r="10" spans="1:15" x14ac:dyDescent="0.25">
      <c r="A10" s="12" t="s">
        <v>61</v>
      </c>
      <c r="B10" s="9"/>
      <c r="C10" s="9"/>
      <c r="D10" s="9"/>
      <c r="E10" s="9"/>
      <c r="F10" s="9"/>
      <c r="G10" s="9">
        <v>2</v>
      </c>
      <c r="H10" s="9"/>
      <c r="I10" s="9"/>
      <c r="J10" s="9"/>
      <c r="K10" s="9"/>
      <c r="L10" s="9"/>
      <c r="M10" s="9"/>
      <c r="N10" s="9">
        <f t="shared" si="0"/>
        <v>2</v>
      </c>
      <c r="O10" s="15"/>
    </row>
    <row r="11" spans="1:15" x14ac:dyDescent="0.25">
      <c r="A11" s="12" t="s">
        <v>75</v>
      </c>
      <c r="B11" s="9"/>
      <c r="C11" s="9"/>
      <c r="D11" s="9"/>
      <c r="E11" s="9"/>
      <c r="F11" s="9"/>
      <c r="G11" s="9">
        <v>1701</v>
      </c>
      <c r="H11" s="9">
        <v>2688</v>
      </c>
      <c r="I11" s="9">
        <v>2220</v>
      </c>
      <c r="J11" s="9">
        <v>1811</v>
      </c>
      <c r="K11" s="9">
        <v>1544</v>
      </c>
      <c r="L11" s="9">
        <v>1181</v>
      </c>
      <c r="M11" s="9">
        <v>1346</v>
      </c>
      <c r="N11" s="9">
        <f t="shared" si="0"/>
        <v>12491</v>
      </c>
      <c r="O11" s="15"/>
    </row>
    <row r="12" spans="1:15" x14ac:dyDescent="0.25">
      <c r="A12" s="12" t="s">
        <v>6</v>
      </c>
      <c r="B12" s="9"/>
      <c r="C12" s="9"/>
      <c r="D12" s="9"/>
      <c r="E12" s="9"/>
      <c r="F12" s="9"/>
      <c r="G12" s="9">
        <v>778</v>
      </c>
      <c r="H12" s="9">
        <v>1804</v>
      </c>
      <c r="I12" s="9">
        <v>1695</v>
      </c>
      <c r="J12" s="9">
        <v>906</v>
      </c>
      <c r="K12" s="9">
        <v>712</v>
      </c>
      <c r="L12" s="9">
        <v>897</v>
      </c>
      <c r="M12" s="9">
        <v>860</v>
      </c>
      <c r="N12" s="9">
        <f t="shared" si="0"/>
        <v>7652</v>
      </c>
      <c r="O12" s="15"/>
    </row>
    <row r="13" spans="1:15" x14ac:dyDescent="0.25">
      <c r="A13" s="12" t="s">
        <v>62</v>
      </c>
      <c r="B13" s="9"/>
      <c r="C13" s="9"/>
      <c r="D13" s="9"/>
      <c r="E13" s="9"/>
      <c r="F13" s="9"/>
      <c r="G13" s="9">
        <v>30</v>
      </c>
      <c r="H13" s="9">
        <v>18</v>
      </c>
      <c r="I13" s="9">
        <v>20</v>
      </c>
      <c r="J13" s="9">
        <v>21</v>
      </c>
      <c r="K13" s="9">
        <v>13</v>
      </c>
      <c r="L13" s="16">
        <v>14</v>
      </c>
      <c r="M13" s="16">
        <v>16</v>
      </c>
      <c r="N13" s="9">
        <f t="shared" si="0"/>
        <v>132</v>
      </c>
      <c r="O13" s="15"/>
    </row>
    <row r="14" spans="1:15" x14ac:dyDescent="0.25">
      <c r="A14" s="12" t="s">
        <v>63</v>
      </c>
      <c r="B14" s="9"/>
      <c r="C14" s="9"/>
      <c r="D14" s="9"/>
      <c r="E14" s="9"/>
      <c r="F14" s="9"/>
      <c r="G14" s="9">
        <v>29</v>
      </c>
      <c r="H14" s="9">
        <v>64</v>
      </c>
      <c r="I14" s="9">
        <v>36</v>
      </c>
      <c r="J14" s="9">
        <v>55</v>
      </c>
      <c r="K14" s="9">
        <v>15</v>
      </c>
      <c r="L14" s="9">
        <v>7</v>
      </c>
      <c r="M14" s="9">
        <v>5</v>
      </c>
      <c r="N14" s="9">
        <f t="shared" si="0"/>
        <v>211</v>
      </c>
      <c r="O14" s="15"/>
    </row>
    <row r="15" spans="1:15" x14ac:dyDescent="0.25">
      <c r="A15" s="12" t="s">
        <v>11</v>
      </c>
      <c r="B15" s="9"/>
      <c r="C15" s="9"/>
      <c r="D15" s="9"/>
      <c r="E15" s="9"/>
      <c r="F15" s="9"/>
      <c r="G15" s="9">
        <v>13</v>
      </c>
      <c r="H15" s="9"/>
      <c r="I15" s="9"/>
      <c r="J15" s="9">
        <v>18</v>
      </c>
      <c r="K15" s="9">
        <v>20</v>
      </c>
      <c r="L15" s="9">
        <v>19</v>
      </c>
      <c r="M15" s="9">
        <v>13</v>
      </c>
      <c r="N15" s="9">
        <f t="shared" si="0"/>
        <v>83</v>
      </c>
      <c r="O15" s="15"/>
    </row>
    <row r="16" spans="1:15" x14ac:dyDescent="0.25">
      <c r="A16" s="12" t="s">
        <v>12</v>
      </c>
      <c r="B16" s="9"/>
      <c r="C16" s="9"/>
      <c r="D16" s="9"/>
      <c r="E16" s="9"/>
      <c r="F16" s="9"/>
      <c r="G16" s="9">
        <v>19</v>
      </c>
      <c r="H16" s="9">
        <v>2</v>
      </c>
      <c r="I16" s="9">
        <v>13</v>
      </c>
      <c r="J16" s="9">
        <v>2</v>
      </c>
      <c r="K16" s="9">
        <v>10</v>
      </c>
      <c r="L16" s="9">
        <v>5</v>
      </c>
      <c r="M16" s="9">
        <v>12</v>
      </c>
      <c r="N16" s="9">
        <f t="shared" si="0"/>
        <v>63</v>
      </c>
      <c r="O16" s="15"/>
    </row>
    <row r="17" spans="1:15" x14ac:dyDescent="0.25">
      <c r="A17" s="12" t="s">
        <v>64</v>
      </c>
      <c r="B17" s="9"/>
      <c r="C17" s="9"/>
      <c r="D17" s="9"/>
      <c r="E17" s="9"/>
      <c r="F17" s="9"/>
      <c r="G17" s="9">
        <v>106</v>
      </c>
      <c r="H17" s="9">
        <v>153</v>
      </c>
      <c r="I17" s="9">
        <v>151</v>
      </c>
      <c r="J17" s="9">
        <v>163</v>
      </c>
      <c r="K17" s="9">
        <v>46</v>
      </c>
      <c r="L17" s="9">
        <v>9</v>
      </c>
      <c r="M17" s="9">
        <v>7</v>
      </c>
      <c r="N17" s="9">
        <f t="shared" si="0"/>
        <v>635</v>
      </c>
      <c r="O17" s="15"/>
    </row>
    <row r="18" spans="1:15" x14ac:dyDescent="0.25">
      <c r="A18" s="12" t="s">
        <v>76</v>
      </c>
      <c r="B18" s="9"/>
      <c r="C18" s="9"/>
      <c r="D18" s="9"/>
      <c r="E18" s="9"/>
      <c r="F18" s="9"/>
      <c r="G18" s="9">
        <v>48</v>
      </c>
      <c r="H18" s="9">
        <v>108</v>
      </c>
      <c r="I18" s="9">
        <v>106</v>
      </c>
      <c r="J18" s="9">
        <v>108</v>
      </c>
      <c r="K18" s="9">
        <v>133</v>
      </c>
      <c r="L18" s="9">
        <v>131</v>
      </c>
      <c r="M18" s="9">
        <v>124</v>
      </c>
      <c r="N18" s="9">
        <f t="shared" si="0"/>
        <v>758</v>
      </c>
      <c r="O18" s="15"/>
    </row>
    <row r="19" spans="1:15" x14ac:dyDescent="0.25">
      <c r="A19" s="12" t="s">
        <v>15</v>
      </c>
      <c r="B19" s="9"/>
      <c r="C19" s="9"/>
      <c r="D19" s="9"/>
      <c r="E19" s="9"/>
      <c r="F19" s="9"/>
      <c r="G19" s="9">
        <v>25</v>
      </c>
      <c r="H19" s="9">
        <v>925</v>
      </c>
      <c r="I19" s="9">
        <v>1025</v>
      </c>
      <c r="J19" s="9">
        <v>625</v>
      </c>
      <c r="K19" s="9">
        <v>625</v>
      </c>
      <c r="L19" s="9">
        <v>275</v>
      </c>
      <c r="M19" s="9">
        <v>650</v>
      </c>
      <c r="N19" s="9">
        <f t="shared" si="0"/>
        <v>4150</v>
      </c>
      <c r="O19" s="15"/>
    </row>
    <row r="20" spans="1:15" x14ac:dyDescent="0.25">
      <c r="A20" s="12" t="s">
        <v>65</v>
      </c>
      <c r="B20" s="9"/>
      <c r="C20" s="9"/>
      <c r="D20" s="9"/>
      <c r="E20" s="9"/>
      <c r="F20" s="9"/>
      <c r="G20" s="9">
        <v>154</v>
      </c>
      <c r="H20" s="9">
        <v>197</v>
      </c>
      <c r="I20" s="9">
        <v>166</v>
      </c>
      <c r="J20" s="9">
        <v>200</v>
      </c>
      <c r="K20" s="9">
        <v>189</v>
      </c>
      <c r="L20" s="9">
        <v>136</v>
      </c>
      <c r="M20" s="9">
        <v>182</v>
      </c>
      <c r="N20" s="9">
        <f t="shared" si="0"/>
        <v>1224</v>
      </c>
      <c r="O20" s="15"/>
    </row>
    <row r="21" spans="1:15" x14ac:dyDescent="0.25">
      <c r="A21" s="12" t="s">
        <v>66</v>
      </c>
      <c r="B21" s="9"/>
      <c r="C21" s="9"/>
      <c r="D21" s="9"/>
      <c r="E21" s="9"/>
      <c r="F21" s="9"/>
      <c r="G21" s="9">
        <v>123</v>
      </c>
      <c r="H21" s="9">
        <v>75</v>
      </c>
      <c r="I21" s="9">
        <v>65</v>
      </c>
      <c r="J21" s="9">
        <v>121</v>
      </c>
      <c r="K21" s="9">
        <v>101</v>
      </c>
      <c r="L21" s="9">
        <v>48</v>
      </c>
      <c r="M21" s="9">
        <v>85</v>
      </c>
      <c r="N21" s="9">
        <f t="shared" si="0"/>
        <v>618</v>
      </c>
      <c r="O21" s="15"/>
    </row>
    <row r="22" spans="1:15" x14ac:dyDescent="0.25">
      <c r="A22" s="12" t="s">
        <v>67</v>
      </c>
      <c r="B22" s="9"/>
      <c r="C22" s="9"/>
      <c r="D22" s="9"/>
      <c r="E22" s="9"/>
      <c r="F22" s="9"/>
      <c r="G22" s="9">
        <v>67</v>
      </c>
      <c r="H22" s="9">
        <v>77</v>
      </c>
      <c r="I22" s="9">
        <v>64</v>
      </c>
      <c r="J22" s="9">
        <v>60</v>
      </c>
      <c r="K22" s="9">
        <v>44</v>
      </c>
      <c r="L22" s="9">
        <v>35</v>
      </c>
      <c r="M22" s="9">
        <v>29</v>
      </c>
      <c r="N22" s="9">
        <f t="shared" si="0"/>
        <v>376</v>
      </c>
      <c r="O22" s="15"/>
    </row>
    <row r="23" spans="1:15" x14ac:dyDescent="0.25">
      <c r="A23" s="12" t="s">
        <v>68</v>
      </c>
      <c r="B23" s="9"/>
      <c r="C23" s="9"/>
      <c r="D23" s="9"/>
      <c r="E23" s="9"/>
      <c r="F23" s="9"/>
      <c r="G23" s="9">
        <v>80</v>
      </c>
      <c r="H23" s="9">
        <v>95</v>
      </c>
      <c r="I23" s="9">
        <v>81</v>
      </c>
      <c r="J23" s="9">
        <v>69</v>
      </c>
      <c r="K23" s="9">
        <v>68</v>
      </c>
      <c r="L23" s="9">
        <v>38</v>
      </c>
      <c r="M23" s="9">
        <v>33</v>
      </c>
      <c r="N23" s="9">
        <f t="shared" si="0"/>
        <v>464</v>
      </c>
      <c r="O23" s="15"/>
    </row>
    <row r="24" spans="1:15" x14ac:dyDescent="0.25">
      <c r="A24" s="12" t="s">
        <v>69</v>
      </c>
      <c r="B24" s="9"/>
      <c r="C24" s="9"/>
      <c r="D24" s="9"/>
      <c r="E24" s="9"/>
      <c r="F24" s="9"/>
      <c r="G24" s="9">
        <v>19</v>
      </c>
      <c r="H24" s="9">
        <v>40</v>
      </c>
      <c r="I24" s="9">
        <v>28</v>
      </c>
      <c r="J24" s="9">
        <v>27</v>
      </c>
      <c r="K24" s="9">
        <v>26</v>
      </c>
      <c r="L24" s="9">
        <v>12</v>
      </c>
      <c r="M24" s="9">
        <v>20</v>
      </c>
      <c r="N24" s="9">
        <f t="shared" si="0"/>
        <v>172</v>
      </c>
      <c r="O24" s="15"/>
    </row>
    <row r="25" spans="1:15" x14ac:dyDescent="0.25">
      <c r="A25" s="12" t="s">
        <v>70</v>
      </c>
      <c r="B25" s="9"/>
      <c r="C25" s="9"/>
      <c r="D25" s="9"/>
      <c r="E25" s="9"/>
      <c r="F25" s="9"/>
      <c r="G25" s="9">
        <v>8</v>
      </c>
      <c r="H25" s="9">
        <v>13</v>
      </c>
      <c r="I25" s="9">
        <v>6</v>
      </c>
      <c r="J25" s="9">
        <v>13</v>
      </c>
      <c r="K25" s="9">
        <v>11</v>
      </c>
      <c r="L25" s="9">
        <v>3</v>
      </c>
      <c r="M25" s="9">
        <v>3</v>
      </c>
      <c r="N25" s="9">
        <f t="shared" si="0"/>
        <v>57</v>
      </c>
      <c r="O25" s="15"/>
    </row>
    <row r="26" spans="1:15" x14ac:dyDescent="0.25">
      <c r="A26" s="12" t="s">
        <v>71</v>
      </c>
      <c r="B26" s="9"/>
      <c r="C26" s="9"/>
      <c r="D26" s="9"/>
      <c r="E26" s="9"/>
      <c r="F26" s="9"/>
      <c r="G26" s="9">
        <v>2</v>
      </c>
      <c r="H26" s="9">
        <v>8</v>
      </c>
      <c r="I26" s="9">
        <v>5</v>
      </c>
      <c r="J26" s="9">
        <v>2</v>
      </c>
      <c r="K26" s="9">
        <v>6</v>
      </c>
      <c r="L26" s="9">
        <v>2</v>
      </c>
      <c r="M26" s="9">
        <v>3</v>
      </c>
      <c r="N26" s="9">
        <f t="shared" si="0"/>
        <v>28</v>
      </c>
      <c r="O26" s="15"/>
    </row>
    <row r="27" spans="1:15" x14ac:dyDescent="0.25">
      <c r="A27" s="12" t="s">
        <v>72</v>
      </c>
      <c r="B27" s="9"/>
      <c r="C27" s="9"/>
      <c r="D27" s="9"/>
      <c r="E27" s="9"/>
      <c r="F27" s="9"/>
      <c r="G27" s="9">
        <v>3</v>
      </c>
      <c r="H27" s="9">
        <v>3</v>
      </c>
      <c r="I27" s="9">
        <v>6</v>
      </c>
      <c r="J27" s="9">
        <v>2</v>
      </c>
      <c r="K27" s="9">
        <v>2</v>
      </c>
      <c r="L27" s="9">
        <v>3</v>
      </c>
      <c r="M27" s="9">
        <v>3</v>
      </c>
      <c r="N27" s="9">
        <f t="shared" si="0"/>
        <v>22</v>
      </c>
      <c r="O27" s="15"/>
    </row>
    <row r="28" spans="1:15" x14ac:dyDescent="0.25">
      <c r="A28" s="12" t="s">
        <v>73</v>
      </c>
      <c r="B28" s="9"/>
      <c r="C28" s="9"/>
      <c r="D28" s="9"/>
      <c r="E28" s="9"/>
      <c r="F28" s="9"/>
      <c r="G28" s="9">
        <v>19</v>
      </c>
      <c r="H28" s="9">
        <v>5</v>
      </c>
      <c r="I28" s="9">
        <v>4</v>
      </c>
      <c r="J28" s="9">
        <v>2</v>
      </c>
      <c r="K28" s="9">
        <v>12</v>
      </c>
      <c r="L28" s="9">
        <v>4</v>
      </c>
      <c r="M28" s="9">
        <v>4</v>
      </c>
      <c r="N28" s="9">
        <f t="shared" si="0"/>
        <v>50</v>
      </c>
      <c r="O28" s="15"/>
    </row>
    <row r="29" spans="1:15" x14ac:dyDescent="0.25">
      <c r="A29" s="12" t="s">
        <v>26</v>
      </c>
      <c r="B29" s="9"/>
      <c r="C29" s="9"/>
      <c r="D29" s="9"/>
      <c r="E29" s="9"/>
      <c r="F29" s="9"/>
      <c r="G29" s="9">
        <v>735</v>
      </c>
      <c r="H29" s="9">
        <v>807</v>
      </c>
      <c r="I29" s="9">
        <v>790</v>
      </c>
      <c r="J29" s="9">
        <v>742</v>
      </c>
      <c r="K29" s="9">
        <v>727</v>
      </c>
      <c r="L29" s="16">
        <v>637</v>
      </c>
      <c r="M29" s="16">
        <v>707</v>
      </c>
      <c r="N29" s="9">
        <f t="shared" si="0"/>
        <v>5145</v>
      </c>
      <c r="O29" s="15"/>
    </row>
    <row r="30" spans="1:15" x14ac:dyDescent="0.25">
      <c r="A30" s="12" t="s">
        <v>77</v>
      </c>
      <c r="B30" s="9"/>
      <c r="C30" s="9"/>
      <c r="D30" s="9"/>
      <c r="E30" s="9"/>
      <c r="F30" s="9"/>
      <c r="G30" s="9"/>
      <c r="H30" s="9"/>
      <c r="I30" s="9"/>
      <c r="J30" s="9"/>
      <c r="K30" s="9">
        <v>20</v>
      </c>
      <c r="L30" s="16">
        <v>19</v>
      </c>
      <c r="M30" s="16">
        <v>13</v>
      </c>
      <c r="N30" s="9">
        <f t="shared" si="0"/>
        <v>52</v>
      </c>
      <c r="O30" s="15"/>
    </row>
    <row r="31" spans="1:15" x14ac:dyDescent="0.25">
      <c r="A31" s="12" t="s">
        <v>78</v>
      </c>
      <c r="B31" s="9"/>
      <c r="C31" s="9"/>
      <c r="D31" s="9"/>
      <c r="E31" s="9"/>
      <c r="F31" s="9"/>
      <c r="G31" s="9"/>
      <c r="H31" s="9"/>
      <c r="I31" s="9"/>
      <c r="J31" s="9"/>
      <c r="K31" s="9">
        <v>2</v>
      </c>
      <c r="L31" s="16"/>
      <c r="M31" s="16"/>
      <c r="N31" s="9">
        <f t="shared" si="0"/>
        <v>2</v>
      </c>
      <c r="O31" s="15"/>
    </row>
    <row r="32" spans="1:15" x14ac:dyDescent="0.25">
      <c r="A32" s="17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5"/>
    </row>
    <row r="33" spans="1:15" x14ac:dyDescent="0.25">
      <c r="A33" s="17" t="s">
        <v>74</v>
      </c>
      <c r="B33" s="30"/>
      <c r="C33" s="30"/>
      <c r="D33" s="30"/>
      <c r="E33" s="30"/>
      <c r="F33" s="30"/>
      <c r="G33" s="30">
        <f>+G4+G6</f>
        <v>3200</v>
      </c>
      <c r="H33" s="30">
        <f t="shared" ref="H33:N33" si="1">+H4+H6</f>
        <v>4900</v>
      </c>
      <c r="I33" s="30">
        <f t="shared" si="1"/>
        <v>5110</v>
      </c>
      <c r="J33" s="30">
        <f t="shared" si="1"/>
        <v>5730</v>
      </c>
      <c r="K33" s="30">
        <f t="shared" si="1"/>
        <v>5320</v>
      </c>
      <c r="L33" s="30">
        <f t="shared" si="1"/>
        <v>3420</v>
      </c>
      <c r="M33" s="30">
        <f t="shared" si="1"/>
        <v>5000</v>
      </c>
      <c r="N33" s="30">
        <f t="shared" si="1"/>
        <v>32680</v>
      </c>
      <c r="O33" s="15"/>
    </row>
    <row r="34" spans="1:15" x14ac:dyDescent="0.25">
      <c r="A34" s="17" t="s">
        <v>55</v>
      </c>
      <c r="B34" s="30"/>
      <c r="C34" s="30"/>
      <c r="D34" s="30"/>
      <c r="E34" s="30"/>
      <c r="F34" s="30"/>
      <c r="G34" s="30">
        <f>+G8+G19</f>
        <v>2625</v>
      </c>
      <c r="H34" s="30">
        <f t="shared" ref="H34:N34" si="2">+H8+H19</f>
        <v>4845</v>
      </c>
      <c r="I34" s="30">
        <f t="shared" si="2"/>
        <v>4905</v>
      </c>
      <c r="J34" s="30">
        <f t="shared" si="2"/>
        <v>3725</v>
      </c>
      <c r="K34" s="30">
        <f t="shared" si="2"/>
        <v>3925</v>
      </c>
      <c r="L34" s="30">
        <f t="shared" si="2"/>
        <v>3535</v>
      </c>
      <c r="M34" s="30">
        <f t="shared" si="2"/>
        <v>3390</v>
      </c>
      <c r="N34" s="30">
        <f t="shared" si="2"/>
        <v>26950</v>
      </c>
      <c r="O34" s="15"/>
    </row>
    <row r="35" spans="1:15" x14ac:dyDescent="0.25">
      <c r="A35" s="12" t="s">
        <v>50</v>
      </c>
      <c r="B35" s="30">
        <f>B4+B5+B9+B10+B11+B20+B21+B22+B23+B24+B25+B28</f>
        <v>0</v>
      </c>
      <c r="C35" s="30">
        <f>C4+C5+C9+C10+C11+C20+C21+C22+C23+C24+C25+C28</f>
        <v>0</v>
      </c>
      <c r="D35" s="30">
        <f>D4+D5+D9+D10+D11+D20+D21+D22+D23+D24+D25+D28</f>
        <v>0</v>
      </c>
      <c r="E35" s="30">
        <f>E4+E5+E9+E10+E11+E20+E21+E22+E23+E24+E25+E28</f>
        <v>0</v>
      </c>
      <c r="F35" s="30">
        <f>F4+F5+F9+F10+F11+F20+F21+F22+F23+F24+F25+F28</f>
        <v>0</v>
      </c>
      <c r="G35" s="30">
        <f t="shared" ref="G35:M35" si="3">+G4+G5+G6+G7+G11+G14+G18+G20+G21+G22+G23+G24+G25+G26+G27+G28+G31</f>
        <v>5653</v>
      </c>
      <c r="H35" s="30">
        <f t="shared" si="3"/>
        <v>8433</v>
      </c>
      <c r="I35" s="30">
        <f t="shared" si="3"/>
        <v>8037</v>
      </c>
      <c r="J35" s="30">
        <f t="shared" si="3"/>
        <v>8250</v>
      </c>
      <c r="K35" s="30">
        <f t="shared" si="3"/>
        <v>7473</v>
      </c>
      <c r="L35" s="30">
        <f t="shared" si="3"/>
        <v>5040</v>
      </c>
      <c r="M35" s="30">
        <f t="shared" si="3"/>
        <v>6877</v>
      </c>
      <c r="N35" s="30">
        <f>+N4+N5+N6+N7+N11+N14+N18+N20+N21+N22+N23+N24+N25+N26+N27+N28+N31</f>
        <v>49763</v>
      </c>
      <c r="O35" s="15"/>
    </row>
    <row r="36" spans="1:15" x14ac:dyDescent="0.25">
      <c r="A36" s="12" t="s">
        <v>28</v>
      </c>
      <c r="B36" s="30" t="e">
        <f>B4+B5+B6+B7+B8+B9+B10+B11+B12+B15+B17+B20+B21+B22+B23+B24+B25+B28+#REF!</f>
        <v>#REF!</v>
      </c>
      <c r="C36" s="30" t="e">
        <f>C4+C5+C6+C7+C8+C9+C10+C11+C12+C15+C17+C20+C21+C22+C23+C24+C25+C28+#REF!</f>
        <v>#REF!</v>
      </c>
      <c r="D36" s="30" t="e">
        <f>D4+D5+D6+D7+D8+D9+D10+D11+D12+D15+D17+D20+D21+D22+D23+D24+D25+D28+#REF!</f>
        <v>#REF!</v>
      </c>
      <c r="E36" s="30" t="e">
        <f>E4+E5+E6+E7+E8+E9+E10+E11+E12+E15+E17+E20+E21+E22+E23+E24+E25+E28+#REF!</f>
        <v>#REF!</v>
      </c>
      <c r="F36" s="30" t="e">
        <f>F4+F5+F6+F7+F8+F9+F10+F11+F12+F15+F17+F20+F21+F22+F23+F24+F25+F28+#REF!</f>
        <v>#REF!</v>
      </c>
      <c r="G36" s="30">
        <f>+G4+G5+G6+G7+G8+G9+G10+G11+G12+G13+G14+G17+G18+G19+G20+G21+G22+G23+G24+G25+G26+G27+G28+G31</f>
        <v>11534</v>
      </c>
      <c r="H36" s="30">
        <f t="shared" ref="H36:N36" si="4">+H4+H5+H6+H7+H8+H9+H10+H11+H12+H13+H14+H17+H18+H19+H20+H21+H22+H23+H24+H25+H26+H27+H28+H31</f>
        <v>19272</v>
      </c>
      <c r="I36" s="30">
        <f t="shared" si="4"/>
        <v>18474</v>
      </c>
      <c r="J36" s="30">
        <f t="shared" si="4"/>
        <v>15394</v>
      </c>
      <c r="K36" s="30">
        <f t="shared" si="4"/>
        <v>13902</v>
      </c>
      <c r="L36" s="30">
        <f t="shared" si="4"/>
        <v>11174</v>
      </c>
      <c r="M36" s="30">
        <f>+M4+M5+M6+M7+M8+M9+M10+M11+M12+M13+M14+M17+M18+M19+M20+M21+M22+M23+M24+M25+M26+M27+M28+M31</f>
        <v>12821</v>
      </c>
      <c r="N36" s="30">
        <f t="shared" si="4"/>
        <v>102571</v>
      </c>
      <c r="O36" s="15"/>
    </row>
    <row r="37" spans="1:15" x14ac:dyDescent="0.25">
      <c r="A37" s="12" t="s">
        <v>46</v>
      </c>
      <c r="B37" s="30" t="e">
        <f>SUM(B4:B29)-B14-B16-B29-#REF!-B15</f>
        <v>#REF!</v>
      </c>
      <c r="C37" s="30" t="e">
        <f>SUM(C4:C29)-C14-C16-C29-#REF!-C15</f>
        <v>#REF!</v>
      </c>
      <c r="D37" s="30" t="e">
        <f>SUM(D4:D29)-D14-D16-D29-#REF!-D15</f>
        <v>#REF!</v>
      </c>
      <c r="E37" s="30" t="e">
        <f>SUM(E4:E29)-E14-E16-E29-#REF!-E15</f>
        <v>#REF!</v>
      </c>
      <c r="F37" s="30" t="e">
        <f>SUM(F4:F29)-F14-F16-F29-#REF!-F15</f>
        <v>#REF!</v>
      </c>
      <c r="G37" s="30">
        <f>SUM(G4:G28)-G16+G31</f>
        <v>11547</v>
      </c>
      <c r="H37" s="30">
        <f>SUM(H4:H28)-H16+H31</f>
        <v>19272</v>
      </c>
      <c r="I37" s="30">
        <f t="shared" ref="I37:N37" si="5">SUM(I4:I28)-I16+I31</f>
        <v>18474</v>
      </c>
      <c r="J37" s="30">
        <f t="shared" si="5"/>
        <v>15412</v>
      </c>
      <c r="K37" s="30">
        <f t="shared" si="5"/>
        <v>13922</v>
      </c>
      <c r="L37" s="30">
        <f t="shared" si="5"/>
        <v>11193</v>
      </c>
      <c r="M37" s="30">
        <f t="shared" si="5"/>
        <v>12834</v>
      </c>
      <c r="N37" s="30">
        <f t="shared" si="5"/>
        <v>102654</v>
      </c>
      <c r="O37" s="15"/>
    </row>
    <row r="38" spans="1:15" x14ac:dyDescent="0.25">
      <c r="A38" s="12" t="s">
        <v>52</v>
      </c>
      <c r="B38" s="30" t="e">
        <f>+B6+B7+B8+B17+#REF!+B15</f>
        <v>#REF!</v>
      </c>
      <c r="C38" s="30" t="e">
        <f>+C6+C7+C8+C17+#REF!+C15</f>
        <v>#REF!</v>
      </c>
      <c r="D38" s="30" t="e">
        <f>+D6+D7+D8+D17+#REF!+D15</f>
        <v>#REF!</v>
      </c>
      <c r="E38" s="30" t="e">
        <f>+E6+E7+E8+E17+#REF!+E15</f>
        <v>#REF!</v>
      </c>
      <c r="F38" s="30" t="e">
        <f>+F6+F7+F8+F17+#REF!+F15</f>
        <v>#REF!</v>
      </c>
      <c r="G38" s="30">
        <f t="shared" ref="G38:L38" si="6">+G8+G9+G12+G17+G19+G10</f>
        <v>5851</v>
      </c>
      <c r="H38" s="30">
        <f t="shared" si="6"/>
        <v>10821</v>
      </c>
      <c r="I38" s="30">
        <f t="shared" si="6"/>
        <v>10417</v>
      </c>
      <c r="J38" s="30">
        <f t="shared" si="6"/>
        <v>7123</v>
      </c>
      <c r="K38" s="30">
        <f t="shared" si="6"/>
        <v>6416</v>
      </c>
      <c r="L38" s="30">
        <f t="shared" si="6"/>
        <v>6120</v>
      </c>
      <c r="M38" s="30">
        <f>+M8+M9+M12+M17+M19+M10</f>
        <v>5928</v>
      </c>
      <c r="N38" s="30">
        <f>+N8+N9+N12+N17+N19</f>
        <v>52674</v>
      </c>
      <c r="O38" s="15"/>
    </row>
    <row r="39" spans="1:15" x14ac:dyDescent="0.25">
      <c r="A39" s="15"/>
      <c r="B39" s="18">
        <f>SUM(B4:B29)</f>
        <v>0</v>
      </c>
      <c r="C39" s="18">
        <f>SUM(C4:C29)</f>
        <v>0</v>
      </c>
      <c r="D39" s="18">
        <f t="shared" ref="D39:N39" si="7">SUM(D4:D31)</f>
        <v>0</v>
      </c>
      <c r="E39" s="18">
        <f t="shared" si="7"/>
        <v>0</v>
      </c>
      <c r="F39" s="18">
        <f t="shared" si="7"/>
        <v>0</v>
      </c>
      <c r="G39" s="18">
        <f t="shared" si="7"/>
        <v>12301</v>
      </c>
      <c r="H39" s="18">
        <f t="shared" si="7"/>
        <v>20081</v>
      </c>
      <c r="I39" s="18">
        <f t="shared" si="7"/>
        <v>19277</v>
      </c>
      <c r="J39" s="18">
        <f t="shared" si="7"/>
        <v>16156</v>
      </c>
      <c r="K39" s="18">
        <f t="shared" si="7"/>
        <v>14679</v>
      </c>
      <c r="L39" s="18">
        <f t="shared" si="7"/>
        <v>11854</v>
      </c>
      <c r="M39" s="18">
        <f t="shared" si="7"/>
        <v>13566</v>
      </c>
      <c r="N39" s="18">
        <f t="shared" si="7"/>
        <v>107914</v>
      </c>
    </row>
    <row r="40" spans="1:15" x14ac:dyDescent="0.25">
      <c r="A40" s="19"/>
    </row>
  </sheetData>
  <phoneticPr fontId="0" type="noConversion"/>
  <pageMargins left="0.25" right="0.25" top="0.25" bottom="0.25" header="0" footer="0"/>
  <pageSetup scale="93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O44"/>
  <sheetViews>
    <sheetView workbookViewId="0">
      <pane xSplit="1" ySplit="3" topLeftCell="J18" activePane="bottomRight" state="frozen"/>
      <selection pane="topRight" activeCell="B1" sqref="B1"/>
      <selection pane="bottomLeft" activeCell="A4" sqref="A4"/>
      <selection pane="bottomRight" activeCell="M38" sqref="M38"/>
    </sheetView>
  </sheetViews>
  <sheetFormatPr defaultColWidth="9.75" defaultRowHeight="16.2" x14ac:dyDescent="0.25"/>
  <cols>
    <col min="1" max="1" width="28.9140625" style="11" bestFit="1" customWidth="1"/>
    <col min="2" max="13" width="6.75" style="11" customWidth="1"/>
    <col min="14" max="16384" width="9.75" style="11"/>
  </cols>
  <sheetData>
    <row r="1" spans="1:15" ht="18.600000000000001" x14ac:dyDescent="0.25">
      <c r="A1" s="10" t="s">
        <v>99</v>
      </c>
    </row>
    <row r="3" spans="1:15" ht="16.8" x14ac:dyDescent="0.25">
      <c r="A3" s="12" t="s">
        <v>1</v>
      </c>
      <c r="B3" s="13" t="s">
        <v>29</v>
      </c>
      <c r="C3" s="13" t="s">
        <v>30</v>
      </c>
      <c r="D3" s="13" t="s">
        <v>31</v>
      </c>
      <c r="E3" s="13" t="s">
        <v>32</v>
      </c>
      <c r="F3" s="13" t="s">
        <v>33</v>
      </c>
      <c r="G3" s="13" t="s">
        <v>34</v>
      </c>
      <c r="H3" s="13" t="s">
        <v>35</v>
      </c>
      <c r="I3" s="13" t="s">
        <v>36</v>
      </c>
      <c r="J3" s="13" t="s">
        <v>37</v>
      </c>
      <c r="K3" s="13" t="s">
        <v>38</v>
      </c>
      <c r="L3" s="13" t="s">
        <v>39</v>
      </c>
      <c r="M3" s="13" t="s">
        <v>40</v>
      </c>
      <c r="N3" s="14" t="s">
        <v>41</v>
      </c>
      <c r="O3" s="15"/>
    </row>
    <row r="4" spans="1:15" x14ac:dyDescent="0.25">
      <c r="A4" s="12" t="s">
        <v>2</v>
      </c>
      <c r="B4" s="9">
        <v>611</v>
      </c>
      <c r="C4" s="9">
        <v>650</v>
      </c>
      <c r="D4" s="9">
        <v>754</v>
      </c>
      <c r="E4" s="9">
        <v>910</v>
      </c>
      <c r="F4" s="9">
        <v>1196</v>
      </c>
      <c r="G4" s="9"/>
      <c r="H4" s="9"/>
      <c r="I4" s="9"/>
      <c r="J4" s="9"/>
      <c r="K4" s="9"/>
      <c r="L4" s="9"/>
      <c r="M4" s="9"/>
      <c r="N4" s="9">
        <f t="shared" ref="N4:N29" si="0">SUM(B4:M4)</f>
        <v>4121</v>
      </c>
      <c r="O4" s="15"/>
    </row>
    <row r="5" spans="1:15" x14ac:dyDescent="0.25">
      <c r="A5" s="12" t="s">
        <v>3</v>
      </c>
      <c r="B5" s="9">
        <v>5725</v>
      </c>
      <c r="C5" s="9">
        <v>5825</v>
      </c>
      <c r="D5" s="9">
        <v>7200</v>
      </c>
      <c r="E5" s="9">
        <v>7000</v>
      </c>
      <c r="F5" s="9">
        <v>15150</v>
      </c>
      <c r="G5" s="9"/>
      <c r="H5" s="9"/>
      <c r="I5" s="9"/>
      <c r="J5" s="9"/>
      <c r="K5" s="9"/>
      <c r="L5" s="9"/>
      <c r="M5" s="9"/>
      <c r="N5" s="9">
        <f t="shared" si="0"/>
        <v>40900</v>
      </c>
      <c r="O5" s="15"/>
    </row>
    <row r="6" spans="1:15" x14ac:dyDescent="0.25">
      <c r="A6" s="12" t="s">
        <v>4</v>
      </c>
      <c r="B6" s="9">
        <v>2750</v>
      </c>
      <c r="C6" s="9">
        <v>2425</v>
      </c>
      <c r="D6" s="9">
        <v>3700</v>
      </c>
      <c r="E6" s="9">
        <v>3850</v>
      </c>
      <c r="F6" s="9">
        <v>7600</v>
      </c>
      <c r="G6" s="9"/>
      <c r="H6" s="9"/>
      <c r="I6" s="9"/>
      <c r="J6" s="9"/>
      <c r="K6" s="9"/>
      <c r="L6" s="9"/>
      <c r="M6" s="9"/>
      <c r="N6" s="9">
        <f t="shared" si="0"/>
        <v>20325</v>
      </c>
      <c r="O6" s="15"/>
    </row>
    <row r="7" spans="1:15" x14ac:dyDescent="0.25">
      <c r="A7" s="12" t="s">
        <v>5</v>
      </c>
      <c r="B7" s="9">
        <v>1010</v>
      </c>
      <c r="C7" s="9">
        <v>1253</v>
      </c>
      <c r="D7" s="9">
        <v>1495</v>
      </c>
      <c r="E7" s="9">
        <v>2060</v>
      </c>
      <c r="F7" s="9">
        <v>2213</v>
      </c>
      <c r="G7" s="9"/>
      <c r="H7" s="9"/>
      <c r="I7" s="9"/>
      <c r="J7" s="9"/>
      <c r="K7" s="9"/>
      <c r="L7" s="9"/>
      <c r="M7" s="9"/>
      <c r="N7" s="9">
        <f t="shared" si="0"/>
        <v>8031</v>
      </c>
      <c r="O7" s="15"/>
    </row>
    <row r="8" spans="1:15" x14ac:dyDescent="0.25">
      <c r="A8" s="12" t="s">
        <v>6</v>
      </c>
      <c r="B8" s="9">
        <v>377</v>
      </c>
      <c r="C8" s="9">
        <v>369</v>
      </c>
      <c r="D8" s="9">
        <v>390</v>
      </c>
      <c r="E8" s="9">
        <v>698</v>
      </c>
      <c r="F8" s="9">
        <v>631</v>
      </c>
      <c r="G8" s="9"/>
      <c r="H8" s="9"/>
      <c r="I8" s="9"/>
      <c r="J8" s="9"/>
      <c r="K8" s="9"/>
      <c r="L8" s="9"/>
      <c r="M8" s="9"/>
      <c r="N8" s="9">
        <f t="shared" si="0"/>
        <v>2465</v>
      </c>
      <c r="O8" s="15"/>
    </row>
    <row r="9" spans="1:15" x14ac:dyDescent="0.25">
      <c r="A9" s="12" t="s">
        <v>7</v>
      </c>
      <c r="B9" s="9">
        <v>853</v>
      </c>
      <c r="C9" s="9">
        <v>1132</v>
      </c>
      <c r="D9" s="9">
        <v>1246</v>
      </c>
      <c r="E9" s="9">
        <v>1683</v>
      </c>
      <c r="F9" s="9">
        <v>1723</v>
      </c>
      <c r="G9" s="9"/>
      <c r="H9" s="9"/>
      <c r="I9" s="9"/>
      <c r="J9" s="9"/>
      <c r="K9" s="9"/>
      <c r="L9" s="9"/>
      <c r="M9" s="9"/>
      <c r="N9" s="9">
        <f t="shared" si="0"/>
        <v>6637</v>
      </c>
      <c r="O9" s="15"/>
    </row>
    <row r="10" spans="1:15" x14ac:dyDescent="0.25">
      <c r="A10" s="12" t="s">
        <v>8</v>
      </c>
      <c r="B10" s="9">
        <v>0</v>
      </c>
      <c r="C10" s="9">
        <v>0</v>
      </c>
      <c r="D10" s="9">
        <v>1</v>
      </c>
      <c r="E10" s="9">
        <v>1</v>
      </c>
      <c r="F10" s="9">
        <v>1</v>
      </c>
      <c r="G10" s="9"/>
      <c r="H10" s="9"/>
      <c r="I10" s="9"/>
      <c r="J10" s="9"/>
      <c r="K10" s="9"/>
      <c r="L10" s="9"/>
      <c r="M10" s="9"/>
      <c r="N10" s="9">
        <f t="shared" si="0"/>
        <v>3</v>
      </c>
      <c r="O10" s="15"/>
    </row>
    <row r="11" spans="1:15" x14ac:dyDescent="0.25">
      <c r="A11" s="12" t="s">
        <v>9</v>
      </c>
      <c r="B11" s="9">
        <v>20</v>
      </c>
      <c r="C11" s="9">
        <v>16</v>
      </c>
      <c r="D11" s="9">
        <v>17</v>
      </c>
      <c r="E11" s="9">
        <v>9</v>
      </c>
      <c r="F11" s="9">
        <v>15</v>
      </c>
      <c r="G11" s="9"/>
      <c r="H11" s="9"/>
      <c r="I11" s="9"/>
      <c r="J11" s="9"/>
      <c r="K11" s="9"/>
      <c r="L11" s="9"/>
      <c r="M11" s="9"/>
      <c r="N11" s="9">
        <f t="shared" si="0"/>
        <v>77</v>
      </c>
      <c r="O11" s="15"/>
    </row>
    <row r="12" spans="1:15" x14ac:dyDescent="0.25">
      <c r="A12" s="12" t="s">
        <v>10</v>
      </c>
      <c r="B12" s="9">
        <v>1</v>
      </c>
      <c r="C12" s="9">
        <v>11</v>
      </c>
      <c r="D12" s="9">
        <v>42</v>
      </c>
      <c r="E12" s="9">
        <v>32</v>
      </c>
      <c r="F12" s="9">
        <v>23</v>
      </c>
      <c r="G12" s="9"/>
      <c r="H12" s="9"/>
      <c r="I12" s="9"/>
      <c r="J12" s="9"/>
      <c r="K12" s="9"/>
      <c r="L12" s="9"/>
      <c r="M12" s="9"/>
      <c r="N12" s="9">
        <f t="shared" si="0"/>
        <v>109</v>
      </c>
      <c r="O12" s="15"/>
    </row>
    <row r="13" spans="1:15" x14ac:dyDescent="0.25">
      <c r="A13" s="12" t="s">
        <v>11</v>
      </c>
      <c r="B13" s="9">
        <v>18</v>
      </c>
      <c r="C13" s="9">
        <v>15</v>
      </c>
      <c r="D13" s="9">
        <v>23</v>
      </c>
      <c r="E13" s="9">
        <v>17</v>
      </c>
      <c r="F13" s="9">
        <v>19</v>
      </c>
      <c r="G13" s="9"/>
      <c r="H13" s="9"/>
      <c r="I13" s="9"/>
      <c r="J13" s="9"/>
      <c r="K13" s="9"/>
      <c r="L13" s="16"/>
      <c r="M13" s="16"/>
      <c r="N13" s="9">
        <f t="shared" si="0"/>
        <v>92</v>
      </c>
      <c r="O13" s="15"/>
    </row>
    <row r="14" spans="1:15" x14ac:dyDescent="0.25">
      <c r="A14" s="12" t="s">
        <v>12</v>
      </c>
      <c r="B14" s="9">
        <v>8</v>
      </c>
      <c r="C14" s="9">
        <v>25</v>
      </c>
      <c r="D14" s="9">
        <v>22</v>
      </c>
      <c r="E14" s="9">
        <v>47.5</v>
      </c>
      <c r="F14" s="9">
        <v>56.5</v>
      </c>
      <c r="G14" s="9"/>
      <c r="H14" s="9"/>
      <c r="I14" s="9"/>
      <c r="J14" s="9"/>
      <c r="K14" s="9"/>
      <c r="L14" s="9"/>
      <c r="M14" s="9"/>
      <c r="N14" s="9">
        <f t="shared" si="0"/>
        <v>159</v>
      </c>
      <c r="O14" s="15"/>
    </row>
    <row r="15" spans="1:15" x14ac:dyDescent="0.25">
      <c r="A15" s="12" t="s">
        <v>13</v>
      </c>
      <c r="B15" s="9">
        <v>521</v>
      </c>
      <c r="C15" s="9">
        <v>440</v>
      </c>
      <c r="D15" s="9">
        <v>684</v>
      </c>
      <c r="E15" s="9">
        <v>461</v>
      </c>
      <c r="F15" s="9">
        <v>623</v>
      </c>
      <c r="G15" s="9"/>
      <c r="H15" s="9"/>
      <c r="I15" s="9"/>
      <c r="J15" s="9"/>
      <c r="K15" s="9"/>
      <c r="L15" s="9"/>
      <c r="M15" s="9"/>
      <c r="N15" s="9">
        <f t="shared" si="0"/>
        <v>2729</v>
      </c>
      <c r="O15" s="15"/>
    </row>
    <row r="16" spans="1:15" x14ac:dyDescent="0.25">
      <c r="A16" s="12" t="s">
        <v>14</v>
      </c>
      <c r="B16" s="9">
        <v>0</v>
      </c>
      <c r="C16" s="9">
        <v>0</v>
      </c>
      <c r="D16" s="9">
        <v>0</v>
      </c>
      <c r="E16" s="9">
        <v>0</v>
      </c>
      <c r="F16" s="9">
        <v>1993</v>
      </c>
      <c r="G16" s="9"/>
      <c r="H16" s="9"/>
      <c r="I16" s="9"/>
      <c r="J16" s="9"/>
      <c r="K16" s="9"/>
      <c r="L16" s="9"/>
      <c r="M16" s="9"/>
      <c r="N16" s="9">
        <f t="shared" si="0"/>
        <v>1993</v>
      </c>
      <c r="O16" s="15"/>
    </row>
    <row r="17" spans="1:15" x14ac:dyDescent="0.25">
      <c r="A17" s="12" t="s">
        <v>15</v>
      </c>
      <c r="B17" s="9">
        <v>400</v>
      </c>
      <c r="C17" s="9">
        <v>500</v>
      </c>
      <c r="D17" s="9">
        <v>500</v>
      </c>
      <c r="E17" s="9">
        <v>550</v>
      </c>
      <c r="F17" s="9">
        <v>975</v>
      </c>
      <c r="G17" s="9"/>
      <c r="H17" s="9"/>
      <c r="I17" s="9"/>
      <c r="J17" s="9"/>
      <c r="K17" s="9"/>
      <c r="L17" s="9"/>
      <c r="M17" s="9"/>
      <c r="N17" s="9">
        <f t="shared" si="0"/>
        <v>2925</v>
      </c>
      <c r="O17" s="15"/>
    </row>
    <row r="18" spans="1:15" x14ac:dyDescent="0.25">
      <c r="A18" s="12" t="s">
        <v>16</v>
      </c>
      <c r="B18" s="9">
        <v>10</v>
      </c>
      <c r="C18" s="9">
        <v>14</v>
      </c>
      <c r="D18" s="9">
        <v>24</v>
      </c>
      <c r="E18" s="9">
        <v>48</v>
      </c>
      <c r="F18" s="9">
        <v>37</v>
      </c>
      <c r="G18" s="9"/>
      <c r="H18" s="9"/>
      <c r="I18" s="9"/>
      <c r="J18" s="9"/>
      <c r="K18" s="9"/>
      <c r="L18" s="9"/>
      <c r="M18" s="9"/>
      <c r="N18" s="9">
        <f t="shared" si="0"/>
        <v>133</v>
      </c>
      <c r="O18" s="15"/>
    </row>
    <row r="19" spans="1:15" x14ac:dyDescent="0.25">
      <c r="A19" s="12" t="s">
        <v>17</v>
      </c>
      <c r="B19" s="9">
        <v>15</v>
      </c>
      <c r="C19" s="9">
        <v>24</v>
      </c>
      <c r="D19" s="9">
        <v>39</v>
      </c>
      <c r="E19" s="9">
        <v>45</v>
      </c>
      <c r="F19" s="9">
        <v>57</v>
      </c>
      <c r="G19" s="9"/>
      <c r="H19" s="9"/>
      <c r="I19" s="9"/>
      <c r="J19" s="9"/>
      <c r="K19" s="9"/>
      <c r="L19" s="9"/>
      <c r="M19" s="9"/>
      <c r="N19" s="9">
        <f t="shared" si="0"/>
        <v>180</v>
      </c>
      <c r="O19" s="15"/>
    </row>
    <row r="20" spans="1:15" x14ac:dyDescent="0.25">
      <c r="A20" s="12" t="s">
        <v>18</v>
      </c>
      <c r="B20" s="9">
        <v>77</v>
      </c>
      <c r="C20" s="9">
        <v>109</v>
      </c>
      <c r="D20" s="9">
        <v>119</v>
      </c>
      <c r="E20" s="9">
        <v>117</v>
      </c>
      <c r="F20" s="9">
        <v>105</v>
      </c>
      <c r="G20" s="9"/>
      <c r="H20" s="9"/>
      <c r="I20" s="9"/>
      <c r="J20" s="9"/>
      <c r="K20" s="9"/>
      <c r="L20" s="9"/>
      <c r="M20" s="9"/>
      <c r="N20" s="9">
        <f t="shared" si="0"/>
        <v>527</v>
      </c>
      <c r="O20" s="15"/>
    </row>
    <row r="21" spans="1:15" x14ac:dyDescent="0.25">
      <c r="A21" s="12" t="s">
        <v>19</v>
      </c>
      <c r="B21" s="9">
        <v>32</v>
      </c>
      <c r="C21" s="9">
        <v>55</v>
      </c>
      <c r="D21" s="9">
        <v>53</v>
      </c>
      <c r="E21" s="9">
        <v>62</v>
      </c>
      <c r="F21" s="9">
        <v>69</v>
      </c>
      <c r="G21" s="9"/>
      <c r="H21" s="9"/>
      <c r="I21" s="9"/>
      <c r="J21" s="9"/>
      <c r="K21" s="9"/>
      <c r="L21" s="9"/>
      <c r="M21" s="9"/>
      <c r="N21" s="9">
        <f t="shared" si="0"/>
        <v>271</v>
      </c>
      <c r="O21" s="15"/>
    </row>
    <row r="22" spans="1:15" x14ac:dyDescent="0.25">
      <c r="A22" s="12" t="s">
        <v>20</v>
      </c>
      <c r="B22" s="9">
        <v>20</v>
      </c>
      <c r="C22" s="9">
        <v>14</v>
      </c>
      <c r="D22" s="9">
        <v>27</v>
      </c>
      <c r="E22" s="9">
        <v>29</v>
      </c>
      <c r="F22" s="9">
        <v>30</v>
      </c>
      <c r="G22" s="9"/>
      <c r="H22" s="9"/>
      <c r="I22" s="9"/>
      <c r="J22" s="9"/>
      <c r="K22" s="9"/>
      <c r="L22" s="9"/>
      <c r="M22" s="9"/>
      <c r="N22" s="9">
        <f t="shared" si="0"/>
        <v>120</v>
      </c>
      <c r="O22" s="15"/>
    </row>
    <row r="23" spans="1:15" x14ac:dyDescent="0.25">
      <c r="A23" s="12" t="s">
        <v>21</v>
      </c>
      <c r="B23" s="9">
        <v>11</v>
      </c>
      <c r="C23" s="9">
        <v>18</v>
      </c>
      <c r="D23" s="9">
        <v>29</v>
      </c>
      <c r="E23" s="9">
        <v>35</v>
      </c>
      <c r="F23" s="9">
        <v>39</v>
      </c>
      <c r="G23" s="9"/>
      <c r="H23" s="9"/>
      <c r="I23" s="9"/>
      <c r="J23" s="9"/>
      <c r="K23" s="9"/>
      <c r="L23" s="9"/>
      <c r="M23" s="9"/>
      <c r="N23" s="9">
        <f t="shared" si="0"/>
        <v>132</v>
      </c>
      <c r="O23" s="15"/>
    </row>
    <row r="24" spans="1:15" x14ac:dyDescent="0.25">
      <c r="A24" s="12" t="s">
        <v>22</v>
      </c>
      <c r="B24" s="9">
        <v>3</v>
      </c>
      <c r="C24" s="9">
        <v>6</v>
      </c>
      <c r="D24" s="9">
        <v>14</v>
      </c>
      <c r="E24" s="9">
        <v>12</v>
      </c>
      <c r="F24" s="9">
        <v>18</v>
      </c>
      <c r="G24" s="9"/>
      <c r="H24" s="9"/>
      <c r="I24" s="9"/>
      <c r="J24" s="9"/>
      <c r="K24" s="9"/>
      <c r="L24" s="9"/>
      <c r="M24" s="9"/>
      <c r="N24" s="9">
        <f t="shared" si="0"/>
        <v>53</v>
      </c>
      <c r="O24" s="15"/>
    </row>
    <row r="25" spans="1:15" x14ac:dyDescent="0.25">
      <c r="A25" s="12" t="s">
        <v>23</v>
      </c>
      <c r="B25" s="9">
        <v>3</v>
      </c>
      <c r="C25" s="9">
        <v>2</v>
      </c>
      <c r="D25" s="9">
        <v>6</v>
      </c>
      <c r="E25" s="9">
        <v>3</v>
      </c>
      <c r="F25" s="9">
        <v>7</v>
      </c>
      <c r="G25" s="9"/>
      <c r="H25" s="9"/>
      <c r="I25" s="9"/>
      <c r="J25" s="9"/>
      <c r="K25" s="9"/>
      <c r="L25" s="9"/>
      <c r="M25" s="9"/>
      <c r="N25" s="9">
        <f t="shared" si="0"/>
        <v>21</v>
      </c>
      <c r="O25" s="15"/>
    </row>
    <row r="26" spans="1:15" x14ac:dyDescent="0.25">
      <c r="A26" s="12" t="s">
        <v>24</v>
      </c>
      <c r="B26" s="9">
        <v>2</v>
      </c>
      <c r="C26" s="9">
        <v>8</v>
      </c>
      <c r="D26" s="9">
        <v>4</v>
      </c>
      <c r="E26" s="9">
        <v>8</v>
      </c>
      <c r="F26" s="9">
        <v>15</v>
      </c>
      <c r="G26" s="9"/>
      <c r="H26" s="9"/>
      <c r="I26" s="9"/>
      <c r="J26" s="9"/>
      <c r="K26" s="9"/>
      <c r="L26" s="9"/>
      <c r="M26" s="9"/>
      <c r="N26" s="9">
        <f t="shared" si="0"/>
        <v>37</v>
      </c>
      <c r="O26" s="15"/>
    </row>
    <row r="27" spans="1:15" x14ac:dyDescent="0.25">
      <c r="A27" s="12" t="s">
        <v>25</v>
      </c>
      <c r="B27" s="9">
        <v>1</v>
      </c>
      <c r="C27" s="9">
        <v>1</v>
      </c>
      <c r="D27" s="9">
        <v>1</v>
      </c>
      <c r="E27" s="9">
        <v>3</v>
      </c>
      <c r="F27" s="9">
        <v>0</v>
      </c>
      <c r="G27" s="9"/>
      <c r="H27" s="9"/>
      <c r="I27" s="9"/>
      <c r="J27" s="9"/>
      <c r="K27" s="9"/>
      <c r="L27" s="9"/>
      <c r="M27" s="9"/>
      <c r="N27" s="9">
        <f t="shared" si="0"/>
        <v>6</v>
      </c>
      <c r="O27" s="15"/>
    </row>
    <row r="28" spans="1:15" x14ac:dyDescent="0.25">
      <c r="A28" s="12" t="s">
        <v>26</v>
      </c>
      <c r="B28" s="9">
        <v>696</v>
      </c>
      <c r="C28" s="9">
        <v>671</v>
      </c>
      <c r="D28" s="9">
        <v>741</v>
      </c>
      <c r="E28" s="9">
        <v>735</v>
      </c>
      <c r="F28" s="9">
        <v>774</v>
      </c>
      <c r="G28" s="9"/>
      <c r="H28" s="9"/>
      <c r="I28" s="9"/>
      <c r="J28" s="9"/>
      <c r="K28" s="9"/>
      <c r="L28" s="16"/>
      <c r="M28" s="16"/>
      <c r="N28" s="9">
        <f t="shared" si="0"/>
        <v>3617</v>
      </c>
      <c r="O28" s="15"/>
    </row>
    <row r="29" spans="1:15" x14ac:dyDescent="0.25">
      <c r="A29" s="12" t="s">
        <v>27</v>
      </c>
      <c r="B29" s="9">
        <v>247</v>
      </c>
      <c r="C29" s="9">
        <v>314</v>
      </c>
      <c r="D29" s="9">
        <v>204</v>
      </c>
      <c r="E29" s="9">
        <v>521</v>
      </c>
      <c r="F29" s="9">
        <v>347</v>
      </c>
      <c r="G29" s="9"/>
      <c r="H29" s="9"/>
      <c r="I29" s="9"/>
      <c r="J29" s="9"/>
      <c r="K29" s="9"/>
      <c r="L29" s="9"/>
      <c r="M29" s="9"/>
      <c r="N29" s="9">
        <f t="shared" si="0"/>
        <v>1633</v>
      </c>
      <c r="O29" s="15"/>
    </row>
    <row r="30" spans="1:15" x14ac:dyDescent="0.25">
      <c r="A30" s="17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5"/>
    </row>
    <row r="31" spans="1:15" x14ac:dyDescent="0.25">
      <c r="A31" s="17" t="s">
        <v>54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9"/>
      <c r="O31" s="15"/>
    </row>
    <row r="32" spans="1:15" x14ac:dyDescent="0.25">
      <c r="A32" s="17" t="s">
        <v>55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9"/>
      <c r="O32" s="15"/>
    </row>
    <row r="33" spans="1:15" x14ac:dyDescent="0.25">
      <c r="A33" s="12" t="s">
        <v>50</v>
      </c>
      <c r="B33" s="30">
        <f t="shared" ref="B33:M33" si="1">B4+B5+B9+B10+B11+B20+B21+B22+B23+B24+B25+B27</f>
        <v>7356</v>
      </c>
      <c r="C33" s="30">
        <f t="shared" si="1"/>
        <v>7828</v>
      </c>
      <c r="D33" s="30">
        <f t="shared" si="1"/>
        <v>9467</v>
      </c>
      <c r="E33" s="30">
        <f t="shared" si="1"/>
        <v>9864</v>
      </c>
      <c r="F33" s="30">
        <f t="shared" si="1"/>
        <v>18353</v>
      </c>
      <c r="G33" s="30">
        <f t="shared" si="1"/>
        <v>0</v>
      </c>
      <c r="H33" s="30">
        <f t="shared" si="1"/>
        <v>0</v>
      </c>
      <c r="I33" s="30">
        <f t="shared" si="1"/>
        <v>0</v>
      </c>
      <c r="J33" s="30">
        <f t="shared" si="1"/>
        <v>0</v>
      </c>
      <c r="K33" s="30">
        <f t="shared" si="1"/>
        <v>0</v>
      </c>
      <c r="L33" s="30">
        <f t="shared" si="1"/>
        <v>0</v>
      </c>
      <c r="M33" s="30">
        <f t="shared" si="1"/>
        <v>0</v>
      </c>
      <c r="N33" s="9">
        <f>SUM(B33:M33)</f>
        <v>52868</v>
      </c>
      <c r="O33" s="15"/>
    </row>
    <row r="34" spans="1:15" x14ac:dyDescent="0.25">
      <c r="A34" s="12" t="s">
        <v>28</v>
      </c>
      <c r="B34" s="30">
        <f t="shared" ref="B34:M34" si="2">B4+B5+B6+B7+B8+B9+B10+B11+B12+B15+B17+B20+B21+B22+B23+B24+B25+B27+B29</f>
        <v>12662</v>
      </c>
      <c r="C34" s="30">
        <f t="shared" si="2"/>
        <v>13140</v>
      </c>
      <c r="D34" s="30">
        <f t="shared" si="2"/>
        <v>16482</v>
      </c>
      <c r="E34" s="30">
        <f t="shared" si="2"/>
        <v>18036</v>
      </c>
      <c r="F34" s="30">
        <f t="shared" si="2"/>
        <v>30765</v>
      </c>
      <c r="G34" s="30">
        <f t="shared" si="2"/>
        <v>0</v>
      </c>
      <c r="H34" s="30">
        <f t="shared" si="2"/>
        <v>0</v>
      </c>
      <c r="I34" s="30">
        <f t="shared" si="2"/>
        <v>0</v>
      </c>
      <c r="J34" s="30">
        <f t="shared" si="2"/>
        <v>0</v>
      </c>
      <c r="K34" s="30">
        <f t="shared" si="2"/>
        <v>0</v>
      </c>
      <c r="L34" s="30">
        <f t="shared" si="2"/>
        <v>0</v>
      </c>
      <c r="M34" s="30">
        <f t="shared" si="2"/>
        <v>0</v>
      </c>
      <c r="N34" s="9">
        <f>SUM(B34:M34)</f>
        <v>91085</v>
      </c>
      <c r="O34" s="15"/>
    </row>
    <row r="35" spans="1:15" x14ac:dyDescent="0.25">
      <c r="A35" s="12" t="s">
        <v>46</v>
      </c>
      <c r="B35" s="30">
        <f t="shared" ref="B35:M35" si="3">SUM(B4:B29)-B14-B16-B28-B29-B15</f>
        <v>11939</v>
      </c>
      <c r="C35" s="30">
        <f t="shared" si="3"/>
        <v>12447</v>
      </c>
      <c r="D35" s="30">
        <f t="shared" si="3"/>
        <v>15684</v>
      </c>
      <c r="E35" s="30">
        <f t="shared" si="3"/>
        <v>17172</v>
      </c>
      <c r="F35" s="30">
        <f t="shared" si="3"/>
        <v>29923</v>
      </c>
      <c r="G35" s="30">
        <f t="shared" si="3"/>
        <v>0</v>
      </c>
      <c r="H35" s="30">
        <f t="shared" si="3"/>
        <v>0</v>
      </c>
      <c r="I35" s="30">
        <f t="shared" si="3"/>
        <v>0</v>
      </c>
      <c r="J35" s="30">
        <f t="shared" si="3"/>
        <v>0</v>
      </c>
      <c r="K35" s="30">
        <f t="shared" si="3"/>
        <v>0</v>
      </c>
      <c r="L35" s="30">
        <f t="shared" si="3"/>
        <v>0</v>
      </c>
      <c r="M35" s="30">
        <f t="shared" si="3"/>
        <v>0</v>
      </c>
      <c r="N35" s="9">
        <f>SUM(B35:M35)</f>
        <v>87165</v>
      </c>
      <c r="O35" s="15"/>
    </row>
    <row r="36" spans="1:15" x14ac:dyDescent="0.25">
      <c r="A36" s="12" t="s">
        <v>51</v>
      </c>
      <c r="B36" s="30">
        <f t="shared" ref="B36:M36" si="4">+B29+B15</f>
        <v>768</v>
      </c>
      <c r="C36" s="30">
        <f t="shared" si="4"/>
        <v>754</v>
      </c>
      <c r="D36" s="30">
        <f t="shared" si="4"/>
        <v>888</v>
      </c>
      <c r="E36" s="30">
        <f t="shared" si="4"/>
        <v>982</v>
      </c>
      <c r="F36" s="30">
        <f t="shared" si="4"/>
        <v>970</v>
      </c>
      <c r="G36" s="30">
        <f t="shared" si="4"/>
        <v>0</v>
      </c>
      <c r="H36" s="30">
        <f t="shared" si="4"/>
        <v>0</v>
      </c>
      <c r="I36" s="30">
        <f t="shared" si="4"/>
        <v>0</v>
      </c>
      <c r="J36" s="30">
        <f t="shared" si="4"/>
        <v>0</v>
      </c>
      <c r="K36" s="30">
        <f t="shared" si="4"/>
        <v>0</v>
      </c>
      <c r="L36" s="30">
        <f t="shared" si="4"/>
        <v>0</v>
      </c>
      <c r="M36" s="30">
        <f t="shared" si="4"/>
        <v>0</v>
      </c>
      <c r="N36" s="9">
        <f>SUM(B36:M36)</f>
        <v>4362</v>
      </c>
      <c r="O36" s="15"/>
    </row>
    <row r="37" spans="1:15" x14ac:dyDescent="0.25">
      <c r="A37" s="12" t="s">
        <v>52</v>
      </c>
      <c r="B37" s="30">
        <f t="shared" ref="B37:L37" si="5">+B6+B7+B8+B17+B29+B15</f>
        <v>5305</v>
      </c>
      <c r="C37" s="30">
        <f t="shared" si="5"/>
        <v>5301</v>
      </c>
      <c r="D37" s="30">
        <f t="shared" si="5"/>
        <v>6973</v>
      </c>
      <c r="E37" s="30">
        <f t="shared" si="5"/>
        <v>8140</v>
      </c>
      <c r="F37" s="30">
        <f t="shared" si="5"/>
        <v>12389</v>
      </c>
      <c r="G37" s="30">
        <f t="shared" si="5"/>
        <v>0</v>
      </c>
      <c r="H37" s="30">
        <f t="shared" si="5"/>
        <v>0</v>
      </c>
      <c r="I37" s="30">
        <f t="shared" si="5"/>
        <v>0</v>
      </c>
      <c r="J37" s="30">
        <f t="shared" si="5"/>
        <v>0</v>
      </c>
      <c r="K37" s="30">
        <f t="shared" si="5"/>
        <v>0</v>
      </c>
      <c r="L37" s="30">
        <f t="shared" si="5"/>
        <v>0</v>
      </c>
      <c r="M37" s="30">
        <f>+M6+M7+M8+M17+M29+M15</f>
        <v>0</v>
      </c>
      <c r="N37" s="9">
        <f>SUM(B37:M37)</f>
        <v>38108</v>
      </c>
      <c r="O37" s="15"/>
    </row>
    <row r="38" spans="1:15" x14ac:dyDescent="0.25">
      <c r="A38" s="15"/>
      <c r="B38" s="18">
        <f t="shared" ref="B38:N38" si="6">SUM(B4:B29)</f>
        <v>13411</v>
      </c>
      <c r="C38" s="18">
        <f t="shared" si="6"/>
        <v>13897</v>
      </c>
      <c r="D38" s="18">
        <f t="shared" si="6"/>
        <v>17335</v>
      </c>
      <c r="E38" s="18">
        <f t="shared" si="6"/>
        <v>18936.5</v>
      </c>
      <c r="F38" s="18">
        <f t="shared" si="6"/>
        <v>33716.5</v>
      </c>
      <c r="G38" s="18">
        <f t="shared" si="6"/>
        <v>0</v>
      </c>
      <c r="H38" s="18">
        <f t="shared" si="6"/>
        <v>0</v>
      </c>
      <c r="I38" s="18">
        <f t="shared" si="6"/>
        <v>0</v>
      </c>
      <c r="J38" s="18">
        <f t="shared" si="6"/>
        <v>0</v>
      </c>
      <c r="K38" s="18">
        <f t="shared" si="6"/>
        <v>0</v>
      </c>
      <c r="L38" s="18">
        <f t="shared" si="6"/>
        <v>0</v>
      </c>
      <c r="M38" s="18">
        <f t="shared" si="6"/>
        <v>0</v>
      </c>
      <c r="N38" s="18">
        <f t="shared" si="6"/>
        <v>97296</v>
      </c>
    </row>
    <row r="39" spans="1:15" x14ac:dyDescent="0.25">
      <c r="A39" s="19"/>
    </row>
    <row r="41" spans="1:15" ht="30.75" customHeight="1" x14ac:dyDescent="0.25">
      <c r="A41" s="104" t="s">
        <v>47</v>
      </c>
      <c r="B41" s="104"/>
      <c r="C41" s="104"/>
      <c r="D41" s="104"/>
      <c r="E41" s="104"/>
      <c r="F41" s="104"/>
      <c r="G41" s="104"/>
      <c r="H41" s="104"/>
      <c r="I41" s="104"/>
    </row>
    <row r="42" spans="1:15" ht="45" customHeight="1" x14ac:dyDescent="0.25">
      <c r="A42" s="105" t="s">
        <v>48</v>
      </c>
      <c r="B42" s="105"/>
      <c r="C42" s="105"/>
      <c r="D42" s="105"/>
      <c r="E42" s="105"/>
      <c r="F42" s="105"/>
      <c r="G42" s="105"/>
      <c r="H42" s="105"/>
      <c r="I42" s="105"/>
    </row>
    <row r="43" spans="1:15" ht="43.5" customHeight="1" x14ac:dyDescent="0.25">
      <c r="A43" s="105" t="s">
        <v>53</v>
      </c>
      <c r="B43" s="105"/>
      <c r="C43" s="105"/>
      <c r="D43" s="105"/>
      <c r="E43" s="105"/>
      <c r="F43" s="105"/>
      <c r="G43" s="105"/>
      <c r="H43" s="105"/>
      <c r="I43" s="105"/>
    </row>
    <row r="44" spans="1:15" x14ac:dyDescent="0.25">
      <c r="A44" s="106" t="s">
        <v>49</v>
      </c>
      <c r="B44" s="106"/>
      <c r="C44" s="106"/>
      <c r="D44" s="106"/>
      <c r="E44" s="106"/>
      <c r="F44" s="106"/>
      <c r="G44" s="106"/>
      <c r="H44" s="106"/>
      <c r="I44" s="106"/>
    </row>
  </sheetData>
  <mergeCells count="4">
    <mergeCell ref="A41:I41"/>
    <mergeCell ref="A42:I42"/>
    <mergeCell ref="A43:I43"/>
    <mergeCell ref="A44:I44"/>
  </mergeCells>
  <phoneticPr fontId="0" type="noConversion"/>
  <pageMargins left="0.25" right="0.25" top="0.25" bottom="0.25" header="0" footer="0"/>
  <pageSetup scale="93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O44"/>
  <sheetViews>
    <sheetView workbookViewId="0">
      <pane xSplit="1" ySplit="3" topLeftCell="E21" activePane="bottomRight" state="frozen"/>
      <selection pane="topRight" activeCell="B1" sqref="B1"/>
      <selection pane="bottomLeft" activeCell="A4" sqref="A4"/>
      <selection pane="bottomRight" activeCell="M38" sqref="M38"/>
    </sheetView>
  </sheetViews>
  <sheetFormatPr defaultColWidth="9.75" defaultRowHeight="16.2" x14ac:dyDescent="0.25"/>
  <cols>
    <col min="1" max="1" width="28.9140625" style="11" bestFit="1" customWidth="1"/>
    <col min="2" max="13" width="6.75" style="11" customWidth="1"/>
    <col min="14" max="16384" width="9.75" style="11"/>
  </cols>
  <sheetData>
    <row r="1" spans="1:15" ht="18.600000000000001" x14ac:dyDescent="0.25">
      <c r="A1" s="10" t="s">
        <v>98</v>
      </c>
    </row>
    <row r="3" spans="1:15" ht="16.8" x14ac:dyDescent="0.25">
      <c r="A3" s="12" t="s">
        <v>1</v>
      </c>
      <c r="B3" s="13" t="s">
        <v>29</v>
      </c>
      <c r="C3" s="13" t="s">
        <v>30</v>
      </c>
      <c r="D3" s="13" t="s">
        <v>31</v>
      </c>
      <c r="E3" s="13" t="s">
        <v>32</v>
      </c>
      <c r="F3" s="13" t="s">
        <v>33</v>
      </c>
      <c r="G3" s="13" t="s">
        <v>34</v>
      </c>
      <c r="H3" s="13" t="s">
        <v>35</v>
      </c>
      <c r="I3" s="13" t="s">
        <v>36</v>
      </c>
      <c r="J3" s="13" t="s">
        <v>37</v>
      </c>
      <c r="K3" s="13" t="s">
        <v>38</v>
      </c>
      <c r="L3" s="13" t="s">
        <v>39</v>
      </c>
      <c r="M3" s="13" t="s">
        <v>40</v>
      </c>
      <c r="N3" s="14" t="s">
        <v>41</v>
      </c>
      <c r="O3" s="15"/>
    </row>
    <row r="4" spans="1:15" x14ac:dyDescent="0.25">
      <c r="A4" s="12" t="s">
        <v>2</v>
      </c>
      <c r="B4" s="9">
        <v>689</v>
      </c>
      <c r="C4" s="9">
        <v>533</v>
      </c>
      <c r="D4" s="9">
        <v>702</v>
      </c>
      <c r="E4" s="9">
        <f>60*13</f>
        <v>780</v>
      </c>
      <c r="F4" s="9">
        <f>81*13</f>
        <v>1053</v>
      </c>
      <c r="G4" s="9">
        <v>1027</v>
      </c>
      <c r="H4" s="9">
        <f>57*13</f>
        <v>741</v>
      </c>
      <c r="I4" s="9">
        <f>75*13</f>
        <v>975</v>
      </c>
      <c r="J4" s="9">
        <f>54*13</f>
        <v>702</v>
      </c>
      <c r="K4" s="9">
        <f>13*41</f>
        <v>533</v>
      </c>
      <c r="L4" s="9">
        <v>650</v>
      </c>
      <c r="M4" s="9">
        <v>728</v>
      </c>
      <c r="N4" s="9">
        <f t="shared" ref="N4:N29" si="0">SUM(B4:M4)</f>
        <v>9113</v>
      </c>
      <c r="O4" s="15">
        <f>+N4/13</f>
        <v>701</v>
      </c>
    </row>
    <row r="5" spans="1:15" x14ac:dyDescent="0.25">
      <c r="A5" s="12" t="s">
        <v>3</v>
      </c>
      <c r="B5" s="9">
        <v>5700</v>
      </c>
      <c r="C5" s="9">
        <v>5925</v>
      </c>
      <c r="D5" s="9">
        <v>6675</v>
      </c>
      <c r="E5" s="9">
        <f>273*25</f>
        <v>6825</v>
      </c>
      <c r="F5" s="9">
        <f>301*25</f>
        <v>7525</v>
      </c>
      <c r="G5" s="9">
        <v>7175</v>
      </c>
      <c r="H5" s="9">
        <f>159*25</f>
        <v>3975</v>
      </c>
      <c r="I5" s="9">
        <f>258*25</f>
        <v>6450</v>
      </c>
      <c r="J5" s="9">
        <f>235*25</f>
        <v>5875</v>
      </c>
      <c r="K5" s="9">
        <f>25*245</f>
        <v>6125</v>
      </c>
      <c r="L5" s="9">
        <v>5900</v>
      </c>
      <c r="M5" s="9">
        <v>5975</v>
      </c>
      <c r="N5" s="9">
        <f t="shared" si="0"/>
        <v>74125</v>
      </c>
      <c r="O5" s="15">
        <f>+N5/25</f>
        <v>2965</v>
      </c>
    </row>
    <row r="6" spans="1:15" x14ac:dyDescent="0.25">
      <c r="A6" s="12" t="s">
        <v>4</v>
      </c>
      <c r="B6" s="9">
        <v>2900</v>
      </c>
      <c r="C6" s="9">
        <v>2775</v>
      </c>
      <c r="D6" s="9">
        <v>3325</v>
      </c>
      <c r="E6" s="9">
        <f>144*25</f>
        <v>3600</v>
      </c>
      <c r="F6" s="9">
        <f>174*25</f>
        <v>4350</v>
      </c>
      <c r="G6" s="9">
        <v>4325</v>
      </c>
      <c r="H6" s="9">
        <f>288*25</f>
        <v>7200</v>
      </c>
      <c r="I6" s="9">
        <f>191*25</f>
        <v>4775</v>
      </c>
      <c r="J6" s="9">
        <f>162*25</f>
        <v>4050</v>
      </c>
      <c r="K6" s="9">
        <f>131*25</f>
        <v>3275</v>
      </c>
      <c r="L6" s="9">
        <v>3050</v>
      </c>
      <c r="M6" s="9">
        <v>3125</v>
      </c>
      <c r="N6" s="9">
        <f t="shared" si="0"/>
        <v>46750</v>
      </c>
      <c r="O6" s="15">
        <f>+N6/25</f>
        <v>1870</v>
      </c>
    </row>
    <row r="7" spans="1:15" x14ac:dyDescent="0.25">
      <c r="A7" s="12" t="s">
        <v>5</v>
      </c>
      <c r="B7" s="9">
        <v>1134</v>
      </c>
      <c r="C7" s="9">
        <v>1132</v>
      </c>
      <c r="D7" s="9">
        <v>1326</v>
      </c>
      <c r="E7" s="9">
        <v>1662</v>
      </c>
      <c r="F7" s="9">
        <v>2308</v>
      </c>
      <c r="G7" s="9">
        <v>2523</v>
      </c>
      <c r="H7" s="9">
        <v>4309</v>
      </c>
      <c r="I7" s="9">
        <v>4311</v>
      </c>
      <c r="J7" s="9">
        <v>2581</v>
      </c>
      <c r="K7" s="9">
        <v>1852</v>
      </c>
      <c r="L7" s="9">
        <v>1660</v>
      </c>
      <c r="M7" s="9">
        <v>1420</v>
      </c>
      <c r="N7" s="9">
        <f t="shared" si="0"/>
        <v>26218</v>
      </c>
      <c r="O7" s="15"/>
    </row>
    <row r="8" spans="1:15" x14ac:dyDescent="0.25">
      <c r="A8" s="12" t="s">
        <v>6</v>
      </c>
      <c r="B8" s="9">
        <v>354</v>
      </c>
      <c r="C8" s="9">
        <v>367</v>
      </c>
      <c r="D8" s="9">
        <v>327</v>
      </c>
      <c r="E8" s="9">
        <v>566</v>
      </c>
      <c r="F8" s="9">
        <v>637</v>
      </c>
      <c r="G8" s="9">
        <v>785</v>
      </c>
      <c r="H8" s="9">
        <v>1437</v>
      </c>
      <c r="I8" s="9">
        <v>1689</v>
      </c>
      <c r="J8" s="9">
        <v>458</v>
      </c>
      <c r="K8" s="9">
        <v>378</v>
      </c>
      <c r="L8" s="9">
        <v>496</v>
      </c>
      <c r="M8" s="9">
        <v>463</v>
      </c>
      <c r="N8" s="9">
        <f t="shared" si="0"/>
        <v>7957</v>
      </c>
      <c r="O8" s="15"/>
    </row>
    <row r="9" spans="1:15" x14ac:dyDescent="0.25">
      <c r="A9" s="12" t="s">
        <v>7</v>
      </c>
      <c r="B9" s="9">
        <v>1033</v>
      </c>
      <c r="C9" s="9">
        <v>1065</v>
      </c>
      <c r="D9" s="9">
        <v>1104</v>
      </c>
      <c r="E9" s="9">
        <v>1485</v>
      </c>
      <c r="F9" s="9">
        <v>1748</v>
      </c>
      <c r="G9" s="9">
        <v>1830</v>
      </c>
      <c r="H9" s="9">
        <v>1826</v>
      </c>
      <c r="I9" s="9">
        <v>2838</v>
      </c>
      <c r="J9" s="9">
        <v>1594</v>
      </c>
      <c r="K9" s="9">
        <v>1455</v>
      </c>
      <c r="L9" s="9">
        <v>1483</v>
      </c>
      <c r="M9" s="9">
        <v>1323</v>
      </c>
      <c r="N9" s="9">
        <f t="shared" si="0"/>
        <v>18784</v>
      </c>
      <c r="O9" s="15"/>
    </row>
    <row r="10" spans="1:15" x14ac:dyDescent="0.25">
      <c r="A10" s="12" t="s">
        <v>8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2</v>
      </c>
      <c r="I10" s="9">
        <v>0</v>
      </c>
      <c r="J10" s="9">
        <v>0</v>
      </c>
      <c r="K10" s="9">
        <v>1</v>
      </c>
      <c r="L10" s="9">
        <v>1</v>
      </c>
      <c r="M10" s="9">
        <v>1</v>
      </c>
      <c r="N10" s="9">
        <f t="shared" si="0"/>
        <v>5</v>
      </c>
      <c r="O10" s="15"/>
    </row>
    <row r="11" spans="1:15" x14ac:dyDescent="0.25">
      <c r="A11" s="12" t="s">
        <v>9</v>
      </c>
      <c r="B11" s="9">
        <v>15</v>
      </c>
      <c r="C11" s="9">
        <v>18</v>
      </c>
      <c r="D11" s="9">
        <v>17</v>
      </c>
      <c r="E11" s="9">
        <v>21</v>
      </c>
      <c r="F11" s="9">
        <v>12</v>
      </c>
      <c r="G11" s="9">
        <v>22</v>
      </c>
      <c r="H11" s="9">
        <v>17</v>
      </c>
      <c r="I11" s="9">
        <v>16</v>
      </c>
      <c r="J11" s="9">
        <v>29</v>
      </c>
      <c r="K11" s="9">
        <v>25</v>
      </c>
      <c r="L11" s="9">
        <v>13</v>
      </c>
      <c r="M11" s="9">
        <v>12</v>
      </c>
      <c r="N11" s="9">
        <f t="shared" si="0"/>
        <v>217</v>
      </c>
      <c r="O11" s="15"/>
    </row>
    <row r="12" spans="1:15" x14ac:dyDescent="0.25">
      <c r="A12" s="12" t="s">
        <v>10</v>
      </c>
      <c r="B12" s="9">
        <v>4</v>
      </c>
      <c r="C12" s="9">
        <v>0</v>
      </c>
      <c r="D12" s="9">
        <v>5</v>
      </c>
      <c r="E12" s="9">
        <v>10</v>
      </c>
      <c r="F12" s="9">
        <v>32</v>
      </c>
      <c r="G12" s="9">
        <v>50</v>
      </c>
      <c r="H12" s="9">
        <v>45</v>
      </c>
      <c r="I12" s="9">
        <v>79</v>
      </c>
      <c r="J12" s="9">
        <v>46</v>
      </c>
      <c r="K12" s="9">
        <v>11</v>
      </c>
      <c r="L12" s="9">
        <v>2</v>
      </c>
      <c r="M12" s="9">
        <v>3</v>
      </c>
      <c r="N12" s="9">
        <f t="shared" si="0"/>
        <v>287</v>
      </c>
      <c r="O12" s="15"/>
    </row>
    <row r="13" spans="1:15" x14ac:dyDescent="0.25">
      <c r="A13" s="12" t="s">
        <v>11</v>
      </c>
      <c r="B13" s="9">
        <v>18</v>
      </c>
      <c r="C13" s="9">
        <v>15</v>
      </c>
      <c r="D13" s="9">
        <v>21</v>
      </c>
      <c r="E13" s="9">
        <v>17</v>
      </c>
      <c r="F13" s="9">
        <v>20</v>
      </c>
      <c r="G13" s="9">
        <v>14</v>
      </c>
      <c r="H13" s="9">
        <v>0</v>
      </c>
      <c r="I13" s="9">
        <v>0</v>
      </c>
      <c r="J13" s="9">
        <v>19</v>
      </c>
      <c r="K13" s="9">
        <v>21</v>
      </c>
      <c r="L13" s="16">
        <v>17</v>
      </c>
      <c r="M13" s="16">
        <v>15</v>
      </c>
      <c r="N13" s="9">
        <f t="shared" si="0"/>
        <v>177</v>
      </c>
      <c r="O13" s="15"/>
    </row>
    <row r="14" spans="1:15" x14ac:dyDescent="0.25">
      <c r="A14" s="12" t="s">
        <v>12</v>
      </c>
      <c r="B14" s="9">
        <v>24</v>
      </c>
      <c r="C14" s="9">
        <v>18</v>
      </c>
      <c r="D14" s="9">
        <v>97</v>
      </c>
      <c r="E14" s="9">
        <v>53</v>
      </c>
      <c r="F14" s="9">
        <v>97</v>
      </c>
      <c r="G14" s="9">
        <v>110</v>
      </c>
      <c r="H14" s="9">
        <v>144</v>
      </c>
      <c r="I14" s="9">
        <v>59</v>
      </c>
      <c r="J14" s="9">
        <v>100</v>
      </c>
      <c r="K14" s="9">
        <v>99</v>
      </c>
      <c r="L14" s="9">
        <v>80</v>
      </c>
      <c r="M14" s="9">
        <v>96.5</v>
      </c>
      <c r="N14" s="9">
        <f t="shared" si="0"/>
        <v>977.5</v>
      </c>
      <c r="O14" s="15"/>
    </row>
    <row r="15" spans="1:15" x14ac:dyDescent="0.25">
      <c r="A15" s="12" t="s">
        <v>13</v>
      </c>
      <c r="B15" s="9">
        <v>221</v>
      </c>
      <c r="C15" s="9">
        <v>286</v>
      </c>
      <c r="D15" s="9">
        <v>441</v>
      </c>
      <c r="E15" s="9">
        <v>332</v>
      </c>
      <c r="F15" s="9">
        <v>453</v>
      </c>
      <c r="G15" s="9">
        <v>263</v>
      </c>
      <c r="H15" s="9">
        <v>0</v>
      </c>
      <c r="I15" s="9">
        <v>0</v>
      </c>
      <c r="J15" s="9">
        <v>357</v>
      </c>
      <c r="K15" s="9">
        <v>497</v>
      </c>
      <c r="L15" s="9">
        <v>273</v>
      </c>
      <c r="M15" s="9">
        <v>521</v>
      </c>
      <c r="N15" s="9">
        <f t="shared" si="0"/>
        <v>3644</v>
      </c>
      <c r="O15" s="15"/>
    </row>
    <row r="16" spans="1:15" x14ac:dyDescent="0.25">
      <c r="A16" s="12" t="s">
        <v>14</v>
      </c>
      <c r="B16" s="9">
        <v>0</v>
      </c>
      <c r="C16" s="9">
        <v>0</v>
      </c>
      <c r="D16" s="9">
        <v>0</v>
      </c>
      <c r="E16" s="9">
        <v>0</v>
      </c>
      <c r="F16" s="9">
        <v>1928</v>
      </c>
      <c r="G16" s="9">
        <v>2088</v>
      </c>
      <c r="H16" s="9">
        <v>2099</v>
      </c>
      <c r="I16" s="9">
        <v>3149</v>
      </c>
      <c r="J16" s="9">
        <v>1866</v>
      </c>
      <c r="K16" s="9">
        <v>0</v>
      </c>
      <c r="L16" s="9">
        <v>0</v>
      </c>
      <c r="M16" s="9">
        <v>0</v>
      </c>
      <c r="N16" s="9">
        <f t="shared" si="0"/>
        <v>11130</v>
      </c>
      <c r="O16" s="15"/>
    </row>
    <row r="17" spans="1:15" x14ac:dyDescent="0.25">
      <c r="A17" s="12" t="s">
        <v>15</v>
      </c>
      <c r="B17" s="9">
        <v>425</v>
      </c>
      <c r="C17" s="9">
        <v>550</v>
      </c>
      <c r="D17" s="9">
        <v>450</v>
      </c>
      <c r="E17" s="9">
        <f>19*25</f>
        <v>475</v>
      </c>
      <c r="F17" s="9">
        <f>21*25</f>
        <v>525</v>
      </c>
      <c r="G17" s="9">
        <f>35*25</f>
        <v>875</v>
      </c>
      <c r="H17" s="9">
        <f>36*25</f>
        <v>900</v>
      </c>
      <c r="I17" s="9">
        <f>36*25</f>
        <v>900</v>
      </c>
      <c r="J17" s="9">
        <f>20*25</f>
        <v>500</v>
      </c>
      <c r="K17" s="9">
        <f>21*25</f>
        <v>525</v>
      </c>
      <c r="L17" s="9">
        <v>575</v>
      </c>
      <c r="M17" s="9">
        <v>375</v>
      </c>
      <c r="N17" s="9">
        <f t="shared" si="0"/>
        <v>7075</v>
      </c>
      <c r="O17" s="15">
        <f>+N17/25</f>
        <v>283</v>
      </c>
    </row>
    <row r="18" spans="1:15" x14ac:dyDescent="0.25">
      <c r="A18" s="12" t="s">
        <v>16</v>
      </c>
      <c r="B18" s="9">
        <v>7</v>
      </c>
      <c r="C18" s="9">
        <v>18</v>
      </c>
      <c r="D18" s="9">
        <v>24</v>
      </c>
      <c r="E18" s="9">
        <v>36</v>
      </c>
      <c r="F18" s="9">
        <v>51</v>
      </c>
      <c r="G18" s="9">
        <v>39</v>
      </c>
      <c r="H18" s="9">
        <v>28</v>
      </c>
      <c r="I18" s="9">
        <v>24</v>
      </c>
      <c r="J18" s="9">
        <v>26</v>
      </c>
      <c r="K18" s="9">
        <v>23</v>
      </c>
      <c r="L18" s="9">
        <v>19</v>
      </c>
      <c r="M18" s="9">
        <v>5</v>
      </c>
      <c r="N18" s="9">
        <f t="shared" si="0"/>
        <v>300</v>
      </c>
      <c r="O18" s="15"/>
    </row>
    <row r="19" spans="1:15" x14ac:dyDescent="0.25">
      <c r="A19" s="12" t="s">
        <v>17</v>
      </c>
      <c r="B19" s="9">
        <v>23</v>
      </c>
      <c r="C19" s="9">
        <v>18</v>
      </c>
      <c r="D19" s="9">
        <v>26</v>
      </c>
      <c r="E19" s="9">
        <v>26</v>
      </c>
      <c r="F19" s="9">
        <v>57</v>
      </c>
      <c r="G19" s="9">
        <v>58</v>
      </c>
      <c r="H19" s="9">
        <v>42</v>
      </c>
      <c r="I19" s="9">
        <v>46</v>
      </c>
      <c r="J19" s="9">
        <v>51</v>
      </c>
      <c r="K19" s="9">
        <v>46</v>
      </c>
      <c r="L19" s="9">
        <v>21</v>
      </c>
      <c r="M19" s="9">
        <v>21</v>
      </c>
      <c r="N19" s="9">
        <f t="shared" si="0"/>
        <v>435</v>
      </c>
      <c r="O19" s="15"/>
    </row>
    <row r="20" spans="1:15" x14ac:dyDescent="0.25">
      <c r="A20" s="12" t="s">
        <v>18</v>
      </c>
      <c r="B20" s="9">
        <v>89</v>
      </c>
      <c r="C20" s="9">
        <v>84</v>
      </c>
      <c r="D20" s="9">
        <v>71</v>
      </c>
      <c r="E20" s="9">
        <v>83</v>
      </c>
      <c r="F20" s="9">
        <v>77</v>
      </c>
      <c r="G20" s="9">
        <v>108</v>
      </c>
      <c r="H20" s="9">
        <v>113</v>
      </c>
      <c r="I20" s="9">
        <v>140</v>
      </c>
      <c r="J20" s="9">
        <v>117</v>
      </c>
      <c r="K20" s="9">
        <v>101</v>
      </c>
      <c r="L20" s="9">
        <v>107</v>
      </c>
      <c r="M20" s="9">
        <v>81</v>
      </c>
      <c r="N20" s="9">
        <f t="shared" si="0"/>
        <v>1171</v>
      </c>
      <c r="O20" s="15"/>
    </row>
    <row r="21" spans="1:15" x14ac:dyDescent="0.25">
      <c r="A21" s="12" t="s">
        <v>19</v>
      </c>
      <c r="B21" s="9">
        <v>62</v>
      </c>
      <c r="C21" s="9">
        <v>55</v>
      </c>
      <c r="D21" s="9">
        <v>34</v>
      </c>
      <c r="E21" s="9">
        <v>38</v>
      </c>
      <c r="F21" s="9">
        <v>40</v>
      </c>
      <c r="G21" s="9">
        <v>58</v>
      </c>
      <c r="H21" s="9">
        <v>46</v>
      </c>
      <c r="I21" s="9">
        <v>60</v>
      </c>
      <c r="J21" s="9">
        <v>44</v>
      </c>
      <c r="K21" s="9">
        <v>122</v>
      </c>
      <c r="L21" s="9">
        <v>37</v>
      </c>
      <c r="M21" s="9">
        <v>35</v>
      </c>
      <c r="N21" s="9">
        <f t="shared" si="0"/>
        <v>631</v>
      </c>
      <c r="O21" s="15"/>
    </row>
    <row r="22" spans="1:15" x14ac:dyDescent="0.25">
      <c r="A22" s="12" t="s">
        <v>20</v>
      </c>
      <c r="B22" s="9">
        <v>14</v>
      </c>
      <c r="C22" s="9">
        <v>18</v>
      </c>
      <c r="D22" s="9">
        <v>14</v>
      </c>
      <c r="E22" s="9">
        <v>24</v>
      </c>
      <c r="F22" s="9">
        <v>25</v>
      </c>
      <c r="G22" s="9">
        <v>34</v>
      </c>
      <c r="H22" s="9">
        <v>43</v>
      </c>
      <c r="I22" s="9">
        <v>35</v>
      </c>
      <c r="J22" s="9">
        <v>42</v>
      </c>
      <c r="K22" s="9">
        <v>29</v>
      </c>
      <c r="L22" s="9">
        <v>21</v>
      </c>
      <c r="M22" s="9">
        <v>32</v>
      </c>
      <c r="N22" s="9">
        <f t="shared" si="0"/>
        <v>331</v>
      </c>
      <c r="O22" s="15"/>
    </row>
    <row r="23" spans="1:15" x14ac:dyDescent="0.25">
      <c r="A23" s="12" t="s">
        <v>21</v>
      </c>
      <c r="B23" s="9">
        <v>27</v>
      </c>
      <c r="C23" s="9">
        <v>26</v>
      </c>
      <c r="D23" s="9">
        <v>29</v>
      </c>
      <c r="E23" s="9">
        <v>22</v>
      </c>
      <c r="F23" s="9">
        <v>23</v>
      </c>
      <c r="G23" s="9">
        <v>40</v>
      </c>
      <c r="H23" s="9">
        <v>50</v>
      </c>
      <c r="I23" s="9">
        <v>54</v>
      </c>
      <c r="J23" s="9">
        <v>51</v>
      </c>
      <c r="K23" s="9">
        <v>44</v>
      </c>
      <c r="L23" s="9">
        <v>37</v>
      </c>
      <c r="M23" s="9">
        <v>19</v>
      </c>
      <c r="N23" s="9">
        <f t="shared" si="0"/>
        <v>422</v>
      </c>
      <c r="O23" s="15"/>
    </row>
    <row r="24" spans="1:15" x14ac:dyDescent="0.25">
      <c r="A24" s="12" t="s">
        <v>22</v>
      </c>
      <c r="B24" s="9">
        <v>1</v>
      </c>
      <c r="C24" s="9">
        <v>3</v>
      </c>
      <c r="D24" s="9">
        <v>5</v>
      </c>
      <c r="E24" s="9">
        <v>8</v>
      </c>
      <c r="F24" s="9">
        <v>10</v>
      </c>
      <c r="G24" s="9">
        <v>10</v>
      </c>
      <c r="H24" s="9">
        <v>13</v>
      </c>
      <c r="I24" s="9">
        <v>17</v>
      </c>
      <c r="J24" s="9">
        <v>8</v>
      </c>
      <c r="K24" s="9">
        <v>5</v>
      </c>
      <c r="L24" s="9">
        <v>7</v>
      </c>
      <c r="M24" s="9">
        <v>9</v>
      </c>
      <c r="N24" s="9">
        <f t="shared" si="0"/>
        <v>96</v>
      </c>
      <c r="O24" s="15"/>
    </row>
    <row r="25" spans="1:15" x14ac:dyDescent="0.25">
      <c r="A25" s="12" t="s">
        <v>23</v>
      </c>
      <c r="B25" s="9">
        <v>0</v>
      </c>
      <c r="C25" s="9">
        <v>3</v>
      </c>
      <c r="D25" s="9">
        <v>7</v>
      </c>
      <c r="E25" s="9">
        <v>2</v>
      </c>
      <c r="F25" s="9">
        <v>5</v>
      </c>
      <c r="G25" s="9">
        <v>7</v>
      </c>
      <c r="H25" s="9">
        <v>3</v>
      </c>
      <c r="I25" s="9">
        <v>5</v>
      </c>
      <c r="J25" s="9">
        <v>4</v>
      </c>
      <c r="K25" s="9">
        <v>7</v>
      </c>
      <c r="L25" s="9">
        <v>4</v>
      </c>
      <c r="M25" s="9">
        <v>4</v>
      </c>
      <c r="N25" s="9">
        <f t="shared" si="0"/>
        <v>51</v>
      </c>
      <c r="O25" s="15"/>
    </row>
    <row r="26" spans="1:15" x14ac:dyDescent="0.25">
      <c r="A26" s="12" t="s">
        <v>24</v>
      </c>
      <c r="B26" s="9">
        <v>1</v>
      </c>
      <c r="C26" s="9">
        <v>3</v>
      </c>
      <c r="D26" s="9">
        <v>9</v>
      </c>
      <c r="E26" s="9">
        <v>5</v>
      </c>
      <c r="F26" s="9">
        <v>23</v>
      </c>
      <c r="G26" s="9">
        <v>22</v>
      </c>
      <c r="H26" s="9">
        <v>18</v>
      </c>
      <c r="I26" s="9">
        <v>18</v>
      </c>
      <c r="J26" s="9">
        <v>13</v>
      </c>
      <c r="K26" s="9">
        <v>11</v>
      </c>
      <c r="L26" s="9">
        <v>16</v>
      </c>
      <c r="M26" s="9">
        <v>4</v>
      </c>
      <c r="N26" s="9">
        <f t="shared" si="0"/>
        <v>143</v>
      </c>
      <c r="O26" s="15"/>
    </row>
    <row r="27" spans="1:15" x14ac:dyDescent="0.25">
      <c r="A27" s="12" t="s">
        <v>25</v>
      </c>
      <c r="B27" s="9">
        <v>4</v>
      </c>
      <c r="C27" s="9">
        <v>0</v>
      </c>
      <c r="D27" s="9">
        <v>2</v>
      </c>
      <c r="E27" s="9">
        <v>3</v>
      </c>
      <c r="F27" s="9">
        <v>0</v>
      </c>
      <c r="G27" s="9">
        <v>1</v>
      </c>
      <c r="H27" s="9">
        <v>3</v>
      </c>
      <c r="I27" s="9">
        <v>0</v>
      </c>
      <c r="J27" s="9">
        <v>6</v>
      </c>
      <c r="K27" s="9">
        <v>2</v>
      </c>
      <c r="L27" s="9">
        <v>3</v>
      </c>
      <c r="M27" s="9">
        <v>9</v>
      </c>
      <c r="N27" s="9">
        <f t="shared" si="0"/>
        <v>33</v>
      </c>
      <c r="O27" s="15"/>
    </row>
    <row r="28" spans="1:15" x14ac:dyDescent="0.25">
      <c r="A28" s="12" t="s">
        <v>26</v>
      </c>
      <c r="B28" s="9">
        <v>720</v>
      </c>
      <c r="C28" s="9">
        <v>655</v>
      </c>
      <c r="D28" s="9">
        <v>720</v>
      </c>
      <c r="E28" s="9">
        <v>747</v>
      </c>
      <c r="F28" s="9">
        <v>784</v>
      </c>
      <c r="G28" s="9">
        <v>756</v>
      </c>
      <c r="H28" s="9">
        <v>751</v>
      </c>
      <c r="I28" s="9">
        <v>821</v>
      </c>
      <c r="J28" s="9">
        <v>759</v>
      </c>
      <c r="K28" s="9">
        <v>770</v>
      </c>
      <c r="L28" s="16">
        <v>728</v>
      </c>
      <c r="M28" s="16">
        <v>726</v>
      </c>
      <c r="N28" s="9">
        <f t="shared" si="0"/>
        <v>8937</v>
      </c>
      <c r="O28" s="15"/>
    </row>
    <row r="29" spans="1:15" x14ac:dyDescent="0.25">
      <c r="A29" s="12" t="s">
        <v>27</v>
      </c>
      <c r="B29" s="9">
        <v>257</v>
      </c>
      <c r="C29" s="9">
        <v>303</v>
      </c>
      <c r="D29" s="9">
        <v>259</v>
      </c>
      <c r="E29" s="9">
        <v>224</v>
      </c>
      <c r="F29" s="9">
        <v>265</v>
      </c>
      <c r="G29" s="9">
        <v>458</v>
      </c>
      <c r="H29" s="9">
        <v>457</v>
      </c>
      <c r="I29" s="9">
        <v>594</v>
      </c>
      <c r="J29" s="9">
        <v>370</v>
      </c>
      <c r="K29" s="9">
        <v>299</v>
      </c>
      <c r="L29" s="9">
        <v>331</v>
      </c>
      <c r="M29" s="9">
        <v>287</v>
      </c>
      <c r="N29" s="9">
        <f t="shared" si="0"/>
        <v>4104</v>
      </c>
      <c r="O29" s="15"/>
    </row>
    <row r="30" spans="1:15" x14ac:dyDescent="0.25">
      <c r="A30" s="17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5"/>
    </row>
    <row r="31" spans="1:15" x14ac:dyDescent="0.25">
      <c r="A31" s="17" t="s">
        <v>54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9"/>
      <c r="O31" s="15"/>
    </row>
    <row r="32" spans="1:15" x14ac:dyDescent="0.25">
      <c r="A32" s="17" t="s">
        <v>55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9"/>
      <c r="O32" s="15"/>
    </row>
    <row r="33" spans="1:15" x14ac:dyDescent="0.25">
      <c r="A33" s="12" t="s">
        <v>50</v>
      </c>
      <c r="B33" s="30">
        <f t="shared" ref="B33:M33" si="1">B4+B5+B9+B10+B11+B20+B21+B22+B23+B24+B25+B27</f>
        <v>7634</v>
      </c>
      <c r="C33" s="30">
        <f t="shared" si="1"/>
        <v>7730</v>
      </c>
      <c r="D33" s="30">
        <f t="shared" si="1"/>
        <v>8660</v>
      </c>
      <c r="E33" s="30">
        <f t="shared" si="1"/>
        <v>9291</v>
      </c>
      <c r="F33" s="30">
        <f t="shared" si="1"/>
        <v>10518</v>
      </c>
      <c r="G33" s="30">
        <f t="shared" si="1"/>
        <v>10312</v>
      </c>
      <c r="H33" s="30">
        <f t="shared" si="1"/>
        <v>6832</v>
      </c>
      <c r="I33" s="30">
        <f t="shared" si="1"/>
        <v>10590</v>
      </c>
      <c r="J33" s="30">
        <f t="shared" si="1"/>
        <v>8472</v>
      </c>
      <c r="K33" s="30">
        <f>K4+K5+K9+K10+K11+K20+K21+K22+K23+K24+K25+K27</f>
        <v>8449</v>
      </c>
      <c r="L33" s="30">
        <f t="shared" si="1"/>
        <v>8263</v>
      </c>
      <c r="M33" s="30">
        <f t="shared" si="1"/>
        <v>8228</v>
      </c>
      <c r="N33" s="9">
        <f>SUM(B33:M33)</f>
        <v>104979</v>
      </c>
      <c r="O33" s="15"/>
    </row>
    <row r="34" spans="1:15" x14ac:dyDescent="0.25">
      <c r="A34" s="12" t="s">
        <v>28</v>
      </c>
      <c r="B34" s="30">
        <f t="shared" ref="B34:M34" si="2">B4+B5+B6+B7+B8+B9+B10+B11+B12+B15+B17+B20+B21+B22+B23+B24+B25+B27+B29</f>
        <v>12929</v>
      </c>
      <c r="C34" s="30">
        <f t="shared" si="2"/>
        <v>13143</v>
      </c>
      <c r="D34" s="30">
        <f t="shared" si="2"/>
        <v>14793</v>
      </c>
      <c r="E34" s="30">
        <f t="shared" si="2"/>
        <v>16160</v>
      </c>
      <c r="F34" s="30">
        <f t="shared" si="2"/>
        <v>19088</v>
      </c>
      <c r="G34" s="30">
        <f t="shared" si="2"/>
        <v>19591</v>
      </c>
      <c r="H34" s="30">
        <f t="shared" si="2"/>
        <v>21180</v>
      </c>
      <c r="I34" s="30">
        <f t="shared" si="2"/>
        <v>22938</v>
      </c>
      <c r="J34" s="30">
        <f t="shared" si="2"/>
        <v>16834</v>
      </c>
      <c r="K34" s="30">
        <f>K4+K5+K6+K7+K8+K9+K10+K11+K12+K15+K17+K20+K21+K22+K23+K24+K25+K27+K29</f>
        <v>15286</v>
      </c>
      <c r="L34" s="30">
        <f t="shared" si="2"/>
        <v>14650</v>
      </c>
      <c r="M34" s="30">
        <f t="shared" si="2"/>
        <v>14422</v>
      </c>
      <c r="N34" s="9">
        <f>SUM(B34:M34)</f>
        <v>201014</v>
      </c>
      <c r="O34" s="15"/>
    </row>
    <row r="35" spans="1:15" x14ac:dyDescent="0.25">
      <c r="A35" s="12" t="s">
        <v>46</v>
      </c>
      <c r="B35" s="30">
        <f t="shared" ref="B35:M35" si="3">SUM(B4:B29)-B14-B16-B28-B29-B15</f>
        <v>12500</v>
      </c>
      <c r="C35" s="30">
        <f t="shared" si="3"/>
        <v>12608</v>
      </c>
      <c r="D35" s="30">
        <f t="shared" si="3"/>
        <v>14173</v>
      </c>
      <c r="E35" s="30">
        <f t="shared" si="3"/>
        <v>15688</v>
      </c>
      <c r="F35" s="30">
        <f t="shared" si="3"/>
        <v>18521</v>
      </c>
      <c r="G35" s="30">
        <f t="shared" si="3"/>
        <v>19003</v>
      </c>
      <c r="H35" s="30">
        <f t="shared" si="3"/>
        <v>20811</v>
      </c>
      <c r="I35" s="30">
        <f t="shared" si="3"/>
        <v>22432</v>
      </c>
      <c r="J35" s="30">
        <f t="shared" si="3"/>
        <v>16216</v>
      </c>
      <c r="K35" s="30">
        <f>SUM(K4:K29)-K14-K16-K28-K29-K15</f>
        <v>14591</v>
      </c>
      <c r="L35" s="30">
        <f t="shared" si="3"/>
        <v>14119</v>
      </c>
      <c r="M35" s="30">
        <f t="shared" si="3"/>
        <v>13659</v>
      </c>
      <c r="N35" s="9">
        <f>SUM(B35:M35)</f>
        <v>194321</v>
      </c>
      <c r="O35" s="15"/>
    </row>
    <row r="36" spans="1:15" x14ac:dyDescent="0.25">
      <c r="A36" s="12" t="s">
        <v>51</v>
      </c>
      <c r="B36" s="30">
        <f t="shared" ref="B36:M36" si="4">+B29+B15</f>
        <v>478</v>
      </c>
      <c r="C36" s="30">
        <f t="shared" si="4"/>
        <v>589</v>
      </c>
      <c r="D36" s="30">
        <f t="shared" si="4"/>
        <v>700</v>
      </c>
      <c r="E36" s="30">
        <f t="shared" si="4"/>
        <v>556</v>
      </c>
      <c r="F36" s="30">
        <f t="shared" si="4"/>
        <v>718</v>
      </c>
      <c r="G36" s="30">
        <f t="shared" si="4"/>
        <v>721</v>
      </c>
      <c r="H36" s="30">
        <f t="shared" si="4"/>
        <v>457</v>
      </c>
      <c r="I36" s="30">
        <f t="shared" si="4"/>
        <v>594</v>
      </c>
      <c r="J36" s="30">
        <f t="shared" si="4"/>
        <v>727</v>
      </c>
      <c r="K36" s="30">
        <f t="shared" si="4"/>
        <v>796</v>
      </c>
      <c r="L36" s="30">
        <f t="shared" si="4"/>
        <v>604</v>
      </c>
      <c r="M36" s="30">
        <f t="shared" si="4"/>
        <v>808</v>
      </c>
      <c r="N36" s="9">
        <f>SUM(B36:M36)</f>
        <v>7748</v>
      </c>
      <c r="O36" s="15"/>
    </row>
    <row r="37" spans="1:15" x14ac:dyDescent="0.25">
      <c r="A37" s="12" t="s">
        <v>52</v>
      </c>
      <c r="B37" s="30">
        <f t="shared" ref="B37:L37" si="5">+B6+B7+B8+B17+B29+B15</f>
        <v>5291</v>
      </c>
      <c r="C37" s="30">
        <f t="shared" si="5"/>
        <v>5413</v>
      </c>
      <c r="D37" s="30">
        <f t="shared" si="5"/>
        <v>6128</v>
      </c>
      <c r="E37" s="30">
        <f t="shared" si="5"/>
        <v>6859</v>
      </c>
      <c r="F37" s="30">
        <f t="shared" si="5"/>
        <v>8538</v>
      </c>
      <c r="G37" s="30">
        <f t="shared" si="5"/>
        <v>9229</v>
      </c>
      <c r="H37" s="30">
        <f t="shared" si="5"/>
        <v>14303</v>
      </c>
      <c r="I37" s="30">
        <f t="shared" si="5"/>
        <v>12269</v>
      </c>
      <c r="J37" s="30">
        <f t="shared" si="5"/>
        <v>8316</v>
      </c>
      <c r="K37" s="30">
        <f>+K6+K7+K8+K17+K29+K15</f>
        <v>6826</v>
      </c>
      <c r="L37" s="30">
        <f t="shared" si="5"/>
        <v>6385</v>
      </c>
      <c r="M37" s="30">
        <f>+M6+M7+M8+M17+M29+M15</f>
        <v>6191</v>
      </c>
      <c r="N37" s="9">
        <f>SUM(B37:M37)</f>
        <v>95748</v>
      </c>
      <c r="O37" s="15"/>
    </row>
    <row r="38" spans="1:15" x14ac:dyDescent="0.25">
      <c r="A38" s="15"/>
      <c r="B38" s="18">
        <f t="shared" ref="B38:N38" si="6">SUM(B4:B29)</f>
        <v>13722</v>
      </c>
      <c r="C38" s="18">
        <f t="shared" si="6"/>
        <v>13870</v>
      </c>
      <c r="D38" s="18">
        <f t="shared" si="6"/>
        <v>15690</v>
      </c>
      <c r="E38" s="18">
        <f t="shared" si="6"/>
        <v>17044</v>
      </c>
      <c r="F38" s="18">
        <f t="shared" si="6"/>
        <v>22048</v>
      </c>
      <c r="G38" s="18">
        <f t="shared" si="6"/>
        <v>22678</v>
      </c>
      <c r="H38" s="18">
        <f t="shared" si="6"/>
        <v>24262</v>
      </c>
      <c r="I38" s="18">
        <f t="shared" si="6"/>
        <v>27055</v>
      </c>
      <c r="J38" s="18">
        <f t="shared" si="6"/>
        <v>19668</v>
      </c>
      <c r="K38" s="18">
        <f t="shared" si="6"/>
        <v>16256</v>
      </c>
      <c r="L38" s="18">
        <f t="shared" si="6"/>
        <v>15531</v>
      </c>
      <c r="M38" s="18">
        <f t="shared" si="6"/>
        <v>15289.5</v>
      </c>
      <c r="N38" s="18">
        <f t="shared" si="6"/>
        <v>223113.5</v>
      </c>
    </row>
    <row r="39" spans="1:15" x14ac:dyDescent="0.25">
      <c r="A39" s="19"/>
    </row>
    <row r="41" spans="1:15" ht="30.75" customHeight="1" x14ac:dyDescent="0.25">
      <c r="A41" s="104" t="s">
        <v>47</v>
      </c>
      <c r="B41" s="104"/>
      <c r="C41" s="104"/>
      <c r="D41" s="104"/>
      <c r="E41" s="104"/>
      <c r="F41" s="104"/>
      <c r="G41" s="104"/>
      <c r="H41" s="104"/>
      <c r="I41" s="104"/>
    </row>
    <row r="42" spans="1:15" ht="45" customHeight="1" x14ac:dyDescent="0.25">
      <c r="A42" s="105" t="s">
        <v>48</v>
      </c>
      <c r="B42" s="105"/>
      <c r="C42" s="105"/>
      <c r="D42" s="105"/>
      <c r="E42" s="105"/>
      <c r="F42" s="105"/>
      <c r="G42" s="105"/>
      <c r="H42" s="105"/>
      <c r="I42" s="105"/>
    </row>
    <row r="43" spans="1:15" ht="43.5" customHeight="1" x14ac:dyDescent="0.25">
      <c r="A43" s="105" t="s">
        <v>53</v>
      </c>
      <c r="B43" s="105"/>
      <c r="C43" s="105"/>
      <c r="D43" s="105"/>
      <c r="E43" s="105"/>
      <c r="F43" s="105"/>
      <c r="G43" s="105"/>
      <c r="H43" s="105"/>
      <c r="I43" s="105"/>
    </row>
    <row r="44" spans="1:15" x14ac:dyDescent="0.25">
      <c r="A44" s="106" t="s">
        <v>49</v>
      </c>
      <c r="B44" s="106"/>
      <c r="C44" s="106"/>
      <c r="D44" s="106"/>
      <c r="E44" s="106"/>
      <c r="F44" s="106"/>
      <c r="G44" s="106"/>
      <c r="H44" s="106"/>
      <c r="I44" s="106"/>
    </row>
  </sheetData>
  <mergeCells count="4">
    <mergeCell ref="A41:I41"/>
    <mergeCell ref="A42:I42"/>
    <mergeCell ref="A43:I43"/>
    <mergeCell ref="A44:I44"/>
  </mergeCells>
  <phoneticPr fontId="0" type="noConversion"/>
  <pageMargins left="0.25" right="0.25" top="0.25" bottom="0.25" header="0" footer="0"/>
  <pageSetup scale="93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N42"/>
  <sheetViews>
    <sheetView workbookViewId="0">
      <pane xSplit="1" ySplit="3" topLeftCell="D17" activePane="bottomRight" state="frozen"/>
      <selection activeCell="A19" sqref="A19"/>
      <selection pane="topRight" activeCell="A19" sqref="A19"/>
      <selection pane="bottomLeft" activeCell="A19" sqref="A19"/>
      <selection pane="bottomRight" activeCell="M36" sqref="M36"/>
    </sheetView>
  </sheetViews>
  <sheetFormatPr defaultColWidth="9.75" defaultRowHeight="16.2" x14ac:dyDescent="0.25"/>
  <cols>
    <col min="1" max="1" width="23.9140625" style="11" bestFit="1" customWidth="1"/>
    <col min="2" max="13" width="6.75" style="11" customWidth="1"/>
    <col min="14" max="16384" width="9.75" style="11"/>
  </cols>
  <sheetData>
    <row r="1" spans="1:14" ht="18.600000000000001" x14ac:dyDescent="0.25">
      <c r="A1" s="10" t="s">
        <v>97</v>
      </c>
    </row>
    <row r="3" spans="1:14" ht="16.8" x14ac:dyDescent="0.25">
      <c r="A3" s="12" t="s">
        <v>1</v>
      </c>
      <c r="B3" s="13" t="s">
        <v>29</v>
      </c>
      <c r="C3" s="13" t="s">
        <v>30</v>
      </c>
      <c r="D3" s="13" t="s">
        <v>31</v>
      </c>
      <c r="E3" s="13" t="s">
        <v>32</v>
      </c>
      <c r="F3" s="13" t="s">
        <v>33</v>
      </c>
      <c r="G3" s="13" t="s">
        <v>34</v>
      </c>
      <c r="H3" s="13" t="s">
        <v>35</v>
      </c>
      <c r="I3" s="13" t="s">
        <v>36</v>
      </c>
      <c r="J3" s="13" t="s">
        <v>37</v>
      </c>
      <c r="K3" s="13" t="s">
        <v>38</v>
      </c>
      <c r="L3" s="13" t="s">
        <v>39</v>
      </c>
      <c r="M3" s="13" t="s">
        <v>40</v>
      </c>
      <c r="N3" s="14" t="s">
        <v>41</v>
      </c>
    </row>
    <row r="4" spans="1:14" x14ac:dyDescent="0.25">
      <c r="A4" s="12" t="s">
        <v>2</v>
      </c>
      <c r="B4" s="9">
        <v>468</v>
      </c>
      <c r="C4" s="9">
        <v>585</v>
      </c>
      <c r="D4" s="9">
        <v>741</v>
      </c>
      <c r="E4" s="9">
        <v>650</v>
      </c>
      <c r="F4" s="9">
        <v>1144</v>
      </c>
      <c r="G4" s="9">
        <v>910</v>
      </c>
      <c r="H4" s="9">
        <v>832</v>
      </c>
      <c r="I4" s="9">
        <v>1066</v>
      </c>
      <c r="J4" s="9">
        <v>637</v>
      </c>
      <c r="K4" s="9">
        <v>663</v>
      </c>
      <c r="L4" s="9">
        <v>585</v>
      </c>
      <c r="M4" s="9">
        <v>585</v>
      </c>
      <c r="N4" s="9">
        <f t="shared" ref="N4:N29" si="0">SUM(B4:M4)</f>
        <v>8866</v>
      </c>
    </row>
    <row r="5" spans="1:14" x14ac:dyDescent="0.25">
      <c r="A5" s="12" t="s">
        <v>3</v>
      </c>
      <c r="B5" s="9">
        <v>5625</v>
      </c>
      <c r="C5" s="9">
        <v>5675</v>
      </c>
      <c r="D5" s="9">
        <v>7175</v>
      </c>
      <c r="E5" s="9">
        <v>7175</v>
      </c>
      <c r="F5" s="9">
        <v>7450</v>
      </c>
      <c r="G5" s="9">
        <v>7425</v>
      </c>
      <c r="H5" s="9">
        <v>6750</v>
      </c>
      <c r="I5" s="9">
        <v>7400</v>
      </c>
      <c r="J5" s="9">
        <v>6000</v>
      </c>
      <c r="K5" s="9">
        <v>6075</v>
      </c>
      <c r="L5" s="9">
        <v>5900</v>
      </c>
      <c r="M5" s="9">
        <v>5800</v>
      </c>
      <c r="N5" s="9">
        <f t="shared" si="0"/>
        <v>78450</v>
      </c>
    </row>
    <row r="6" spans="1:14" x14ac:dyDescent="0.25">
      <c r="A6" s="12" t="s">
        <v>4</v>
      </c>
      <c r="B6" s="9">
        <v>2525</v>
      </c>
      <c r="C6" s="9">
        <v>2875</v>
      </c>
      <c r="D6" s="9">
        <v>3250</v>
      </c>
      <c r="E6" s="9">
        <v>3400</v>
      </c>
      <c r="F6" s="9">
        <v>4850</v>
      </c>
      <c r="G6" s="9">
        <v>3850</v>
      </c>
      <c r="H6" s="9">
        <v>4950</v>
      </c>
      <c r="I6" s="9">
        <v>6000</v>
      </c>
      <c r="J6" s="9">
        <v>3950</v>
      </c>
      <c r="K6" s="9">
        <v>3300</v>
      </c>
      <c r="L6" s="9">
        <v>2750</v>
      </c>
      <c r="M6" s="9">
        <v>2925</v>
      </c>
      <c r="N6" s="9">
        <f t="shared" si="0"/>
        <v>44625</v>
      </c>
    </row>
    <row r="7" spans="1:14" x14ac:dyDescent="0.25">
      <c r="A7" s="12" t="s">
        <v>5</v>
      </c>
      <c r="B7" s="9">
        <v>975</v>
      </c>
      <c r="C7" s="9">
        <v>1087</v>
      </c>
      <c r="D7" s="9">
        <v>1419</v>
      </c>
      <c r="E7" s="9">
        <v>1459</v>
      </c>
      <c r="F7" s="9">
        <v>2007</v>
      </c>
      <c r="G7" s="9">
        <v>2477</v>
      </c>
      <c r="H7" s="9">
        <v>3728</v>
      </c>
      <c r="I7" s="9">
        <v>4406</v>
      </c>
      <c r="J7" s="9">
        <v>2338</v>
      </c>
      <c r="K7" s="9">
        <v>1518</v>
      </c>
      <c r="L7" s="9">
        <v>1634</v>
      </c>
      <c r="M7" s="9">
        <v>1508</v>
      </c>
      <c r="N7" s="9">
        <f t="shared" si="0"/>
        <v>24556</v>
      </c>
    </row>
    <row r="8" spans="1:14" x14ac:dyDescent="0.25">
      <c r="A8" s="12" t="s">
        <v>6</v>
      </c>
      <c r="B8" s="9">
        <v>287</v>
      </c>
      <c r="C8" s="9">
        <v>456</v>
      </c>
      <c r="D8" s="9">
        <v>483</v>
      </c>
      <c r="E8" s="9">
        <v>571</v>
      </c>
      <c r="F8" s="9">
        <v>655</v>
      </c>
      <c r="G8" s="9">
        <v>790</v>
      </c>
      <c r="H8" s="9">
        <v>1536</v>
      </c>
      <c r="I8" s="9">
        <v>1679</v>
      </c>
      <c r="J8" s="9">
        <v>526</v>
      </c>
      <c r="K8" s="9">
        <v>404</v>
      </c>
      <c r="L8" s="9">
        <v>531</v>
      </c>
      <c r="M8" s="9">
        <v>491</v>
      </c>
      <c r="N8" s="9">
        <f t="shared" si="0"/>
        <v>8409</v>
      </c>
    </row>
    <row r="9" spans="1:14" x14ac:dyDescent="0.25">
      <c r="A9" s="12" t="s">
        <v>7</v>
      </c>
      <c r="B9" s="9">
        <v>879</v>
      </c>
      <c r="C9" s="9">
        <v>992</v>
      </c>
      <c r="D9" s="9">
        <v>1269</v>
      </c>
      <c r="E9" s="9">
        <v>1303</v>
      </c>
      <c r="F9" s="9">
        <v>1664</v>
      </c>
      <c r="G9" s="9">
        <v>1864</v>
      </c>
      <c r="H9" s="9">
        <v>2563</v>
      </c>
      <c r="I9" s="9">
        <v>2841</v>
      </c>
      <c r="J9" s="9">
        <v>1630</v>
      </c>
      <c r="K9" s="9">
        <v>1338</v>
      </c>
      <c r="L9" s="9">
        <v>1351</v>
      </c>
      <c r="M9" s="9">
        <v>1266</v>
      </c>
      <c r="N9" s="9">
        <f t="shared" si="0"/>
        <v>18960</v>
      </c>
    </row>
    <row r="10" spans="1:14" x14ac:dyDescent="0.25">
      <c r="A10" s="12" t="s">
        <v>8</v>
      </c>
      <c r="B10" s="9">
        <v>0</v>
      </c>
      <c r="C10" s="9">
        <v>1</v>
      </c>
      <c r="D10" s="9">
        <v>0</v>
      </c>
      <c r="E10" s="9">
        <v>0</v>
      </c>
      <c r="F10" s="9">
        <v>0</v>
      </c>
      <c r="G10" s="9">
        <v>1</v>
      </c>
      <c r="H10" s="9">
        <v>3</v>
      </c>
      <c r="I10" s="9">
        <v>1</v>
      </c>
      <c r="J10" s="9">
        <v>0</v>
      </c>
      <c r="K10" s="9">
        <v>0</v>
      </c>
      <c r="L10" s="9">
        <v>0</v>
      </c>
      <c r="M10" s="9">
        <v>0</v>
      </c>
      <c r="N10" s="9">
        <f t="shared" si="0"/>
        <v>6</v>
      </c>
    </row>
    <row r="11" spans="1:14" x14ac:dyDescent="0.25">
      <c r="A11" s="12" t="s">
        <v>9</v>
      </c>
      <c r="B11" s="9">
        <v>20</v>
      </c>
      <c r="C11" s="9">
        <v>14</v>
      </c>
      <c r="D11" s="9">
        <v>5</v>
      </c>
      <c r="E11" s="9">
        <v>22</v>
      </c>
      <c r="F11" s="9">
        <v>15</v>
      </c>
      <c r="G11" s="9">
        <v>16</v>
      </c>
      <c r="H11" s="9">
        <v>17</v>
      </c>
      <c r="I11" s="9">
        <v>13</v>
      </c>
      <c r="J11" s="9">
        <v>18</v>
      </c>
      <c r="K11" s="9">
        <v>17</v>
      </c>
      <c r="L11" s="9">
        <v>12</v>
      </c>
      <c r="M11" s="9">
        <v>20</v>
      </c>
      <c r="N11" s="9">
        <f t="shared" si="0"/>
        <v>189</v>
      </c>
    </row>
    <row r="12" spans="1:14" x14ac:dyDescent="0.25">
      <c r="A12" s="12" t="s">
        <v>10</v>
      </c>
      <c r="B12" s="9">
        <v>0</v>
      </c>
      <c r="C12" s="9">
        <v>0</v>
      </c>
      <c r="D12" s="9">
        <v>6</v>
      </c>
      <c r="E12" s="9">
        <v>14</v>
      </c>
      <c r="F12" s="9">
        <v>11</v>
      </c>
      <c r="G12" s="9">
        <v>33</v>
      </c>
      <c r="H12" s="9">
        <v>35</v>
      </c>
      <c r="I12" s="9">
        <v>36</v>
      </c>
      <c r="J12" s="9">
        <v>40</v>
      </c>
      <c r="K12" s="9">
        <v>6</v>
      </c>
      <c r="L12" s="9">
        <v>4</v>
      </c>
      <c r="M12" s="9">
        <v>3</v>
      </c>
      <c r="N12" s="9">
        <f t="shared" si="0"/>
        <v>188</v>
      </c>
    </row>
    <row r="13" spans="1:14" x14ac:dyDescent="0.25">
      <c r="A13" s="12" t="s">
        <v>11</v>
      </c>
      <c r="B13" s="9">
        <v>20</v>
      </c>
      <c r="C13" s="9">
        <v>15</v>
      </c>
      <c r="D13" s="9">
        <v>21</v>
      </c>
      <c r="E13" s="9">
        <v>17</v>
      </c>
      <c r="F13" s="9">
        <v>21</v>
      </c>
      <c r="G13" s="9">
        <v>12</v>
      </c>
      <c r="H13" s="9">
        <v>0</v>
      </c>
      <c r="I13" s="9">
        <v>0</v>
      </c>
      <c r="J13" s="9">
        <v>18</v>
      </c>
      <c r="K13" s="9">
        <v>23</v>
      </c>
      <c r="L13" s="16">
        <v>18</v>
      </c>
      <c r="M13" s="16">
        <v>15</v>
      </c>
      <c r="N13" s="9">
        <f t="shared" si="0"/>
        <v>180</v>
      </c>
    </row>
    <row r="14" spans="1:14" x14ac:dyDescent="0.25">
      <c r="A14" s="12" t="s">
        <v>12</v>
      </c>
      <c r="B14" s="9">
        <v>18</v>
      </c>
      <c r="C14" s="9">
        <v>42</v>
      </c>
      <c r="D14" s="9">
        <v>130.5</v>
      </c>
      <c r="E14" s="9">
        <v>141.5</v>
      </c>
      <c r="F14" s="9">
        <v>141.5</v>
      </c>
      <c r="G14" s="9">
        <v>146</v>
      </c>
      <c r="H14" s="9">
        <v>190.5</v>
      </c>
      <c r="I14" s="9">
        <v>110</v>
      </c>
      <c r="J14" s="9">
        <v>182.5</v>
      </c>
      <c r="K14" s="9">
        <v>132</v>
      </c>
      <c r="L14" s="9">
        <v>193</v>
      </c>
      <c r="M14" s="9">
        <v>32</v>
      </c>
      <c r="N14" s="9">
        <f t="shared" si="0"/>
        <v>1459.5</v>
      </c>
    </row>
    <row r="15" spans="1:14" x14ac:dyDescent="0.25">
      <c r="A15" s="12" t="s">
        <v>13</v>
      </c>
      <c r="B15" s="9">
        <v>237</v>
      </c>
      <c r="C15" s="9">
        <v>226</v>
      </c>
      <c r="D15" s="9">
        <v>397</v>
      </c>
      <c r="E15" s="9">
        <v>501</v>
      </c>
      <c r="F15" s="9">
        <v>491</v>
      </c>
      <c r="G15" s="9">
        <v>333</v>
      </c>
      <c r="H15" s="9">
        <v>0</v>
      </c>
      <c r="I15" s="9">
        <v>0</v>
      </c>
      <c r="J15" s="9">
        <v>346</v>
      </c>
      <c r="K15" s="9">
        <v>429</v>
      </c>
      <c r="L15" s="9">
        <v>422</v>
      </c>
      <c r="M15" s="9">
        <v>101</v>
      </c>
      <c r="N15" s="9">
        <f t="shared" si="0"/>
        <v>3483</v>
      </c>
    </row>
    <row r="16" spans="1:14" x14ac:dyDescent="0.25">
      <c r="A16" s="12" t="s">
        <v>14</v>
      </c>
      <c r="B16" s="9">
        <v>0</v>
      </c>
      <c r="C16" s="9">
        <v>0</v>
      </c>
      <c r="D16" s="9">
        <v>0</v>
      </c>
      <c r="E16" s="9">
        <v>0</v>
      </c>
      <c r="F16" s="9">
        <v>1951</v>
      </c>
      <c r="G16" s="9">
        <v>2179</v>
      </c>
      <c r="H16" s="9">
        <v>3053</v>
      </c>
      <c r="I16" s="9">
        <v>3255</v>
      </c>
      <c r="J16" s="9">
        <v>2001</v>
      </c>
      <c r="K16" s="9"/>
      <c r="L16" s="9"/>
      <c r="M16" s="9"/>
      <c r="N16" s="9">
        <f t="shared" si="0"/>
        <v>12439</v>
      </c>
    </row>
    <row r="17" spans="1:14" x14ac:dyDescent="0.25">
      <c r="A17" s="12" t="s">
        <v>15</v>
      </c>
      <c r="B17" s="9">
        <v>250</v>
      </c>
      <c r="C17" s="9">
        <v>550</v>
      </c>
      <c r="D17" s="9">
        <v>450</v>
      </c>
      <c r="E17" s="9">
        <v>475</v>
      </c>
      <c r="F17" s="9">
        <v>450</v>
      </c>
      <c r="G17" s="9">
        <v>925</v>
      </c>
      <c r="H17" s="9">
        <v>875</v>
      </c>
      <c r="I17" s="9">
        <v>1000</v>
      </c>
      <c r="J17" s="9">
        <v>300</v>
      </c>
      <c r="K17" s="9">
        <v>600</v>
      </c>
      <c r="L17" s="9">
        <v>350</v>
      </c>
      <c r="M17" s="9">
        <v>600</v>
      </c>
      <c r="N17" s="9">
        <f t="shared" si="0"/>
        <v>6825</v>
      </c>
    </row>
    <row r="18" spans="1:14" x14ac:dyDescent="0.25">
      <c r="A18" s="12" t="s">
        <v>16</v>
      </c>
      <c r="B18" s="9">
        <v>15</v>
      </c>
      <c r="C18" s="9">
        <v>8</v>
      </c>
      <c r="D18" s="9">
        <v>19</v>
      </c>
      <c r="E18" s="9">
        <v>21</v>
      </c>
      <c r="F18" s="9">
        <v>31</v>
      </c>
      <c r="G18" s="9">
        <v>36</v>
      </c>
      <c r="H18" s="9">
        <v>28</v>
      </c>
      <c r="I18" s="9">
        <v>25</v>
      </c>
      <c r="J18" s="9">
        <v>25</v>
      </c>
      <c r="K18" s="9">
        <v>36</v>
      </c>
      <c r="L18" s="9">
        <v>14</v>
      </c>
      <c r="M18" s="9">
        <v>12</v>
      </c>
      <c r="N18" s="9">
        <f t="shared" si="0"/>
        <v>270</v>
      </c>
    </row>
    <row r="19" spans="1:14" x14ac:dyDescent="0.25">
      <c r="A19" s="12" t="s">
        <v>17</v>
      </c>
      <c r="B19" s="9">
        <v>15</v>
      </c>
      <c r="C19" s="9">
        <v>11</v>
      </c>
      <c r="D19" s="9">
        <v>25</v>
      </c>
      <c r="E19" s="9">
        <v>41</v>
      </c>
      <c r="F19" s="9">
        <v>75</v>
      </c>
      <c r="G19" s="9">
        <v>50</v>
      </c>
      <c r="H19" s="9">
        <v>70</v>
      </c>
      <c r="I19" s="9">
        <v>61</v>
      </c>
      <c r="J19" s="9">
        <v>38</v>
      </c>
      <c r="K19" s="9">
        <v>151</v>
      </c>
      <c r="L19" s="9">
        <v>29</v>
      </c>
      <c r="M19" s="9">
        <v>18</v>
      </c>
      <c r="N19" s="9">
        <f t="shared" si="0"/>
        <v>584</v>
      </c>
    </row>
    <row r="20" spans="1:14" x14ac:dyDescent="0.25">
      <c r="A20" s="12" t="s">
        <v>18</v>
      </c>
      <c r="B20" s="9">
        <v>98</v>
      </c>
      <c r="C20" s="9">
        <v>105</v>
      </c>
      <c r="D20" s="9">
        <v>111</v>
      </c>
      <c r="E20" s="9">
        <v>118</v>
      </c>
      <c r="F20" s="9">
        <v>114</v>
      </c>
      <c r="G20" s="9">
        <v>144</v>
      </c>
      <c r="H20" s="9">
        <v>206</v>
      </c>
      <c r="I20" s="9">
        <v>176</v>
      </c>
      <c r="J20" s="9">
        <v>187</v>
      </c>
      <c r="K20" s="9">
        <v>104</v>
      </c>
      <c r="L20" s="9">
        <v>123</v>
      </c>
      <c r="M20" s="9">
        <v>123</v>
      </c>
      <c r="N20" s="9">
        <f t="shared" si="0"/>
        <v>1609</v>
      </c>
    </row>
    <row r="21" spans="1:14" x14ac:dyDescent="0.25">
      <c r="A21" s="12" t="s">
        <v>19</v>
      </c>
      <c r="B21" s="9">
        <v>58</v>
      </c>
      <c r="C21" s="9">
        <v>47</v>
      </c>
      <c r="D21" s="9">
        <v>41</v>
      </c>
      <c r="E21" s="9">
        <v>87</v>
      </c>
      <c r="F21" s="9">
        <v>90</v>
      </c>
      <c r="G21" s="9">
        <v>83</v>
      </c>
      <c r="H21" s="9">
        <v>130</v>
      </c>
      <c r="I21" s="9">
        <v>77</v>
      </c>
      <c r="J21" s="9">
        <v>85</v>
      </c>
      <c r="K21" s="9">
        <v>27</v>
      </c>
      <c r="L21" s="9">
        <v>53</v>
      </c>
      <c r="M21" s="9">
        <v>46</v>
      </c>
      <c r="N21" s="9">
        <f t="shared" si="0"/>
        <v>824</v>
      </c>
    </row>
    <row r="22" spans="1:14" x14ac:dyDescent="0.25">
      <c r="A22" s="12" t="s">
        <v>20</v>
      </c>
      <c r="B22" s="9">
        <v>18</v>
      </c>
      <c r="C22" s="9">
        <v>14</v>
      </c>
      <c r="D22" s="9">
        <v>17</v>
      </c>
      <c r="E22" s="9">
        <v>18</v>
      </c>
      <c r="F22" s="9">
        <v>33</v>
      </c>
      <c r="G22" s="9">
        <v>26</v>
      </c>
      <c r="H22" s="9">
        <v>43</v>
      </c>
      <c r="I22" s="9">
        <v>60</v>
      </c>
      <c r="J22" s="9">
        <v>30</v>
      </c>
      <c r="K22" s="9">
        <v>38</v>
      </c>
      <c r="L22" s="9">
        <v>16</v>
      </c>
      <c r="M22" s="9">
        <v>23</v>
      </c>
      <c r="N22" s="9">
        <f t="shared" si="0"/>
        <v>336</v>
      </c>
    </row>
    <row r="23" spans="1:14" x14ac:dyDescent="0.25">
      <c r="A23" s="12" t="s">
        <v>21</v>
      </c>
      <c r="B23" s="9">
        <v>27</v>
      </c>
      <c r="C23" s="9">
        <v>23</v>
      </c>
      <c r="D23" s="9">
        <v>16</v>
      </c>
      <c r="E23" s="9">
        <v>35</v>
      </c>
      <c r="F23" s="9">
        <v>42</v>
      </c>
      <c r="G23" s="9">
        <v>40</v>
      </c>
      <c r="H23" s="9">
        <v>79</v>
      </c>
      <c r="I23" s="9">
        <v>77</v>
      </c>
      <c r="J23" s="9">
        <v>43</v>
      </c>
      <c r="K23" s="9">
        <v>4</v>
      </c>
      <c r="L23" s="9">
        <v>25</v>
      </c>
      <c r="M23" s="9">
        <v>33</v>
      </c>
      <c r="N23" s="9">
        <f t="shared" si="0"/>
        <v>444</v>
      </c>
    </row>
    <row r="24" spans="1:14" x14ac:dyDescent="0.25">
      <c r="A24" s="12" t="s">
        <v>22</v>
      </c>
      <c r="B24" s="9">
        <v>6</v>
      </c>
      <c r="C24" s="9">
        <v>6</v>
      </c>
      <c r="D24" s="9">
        <v>13</v>
      </c>
      <c r="E24" s="9">
        <v>7</v>
      </c>
      <c r="F24" s="9">
        <v>7</v>
      </c>
      <c r="G24" s="9">
        <v>9</v>
      </c>
      <c r="H24" s="9">
        <v>15</v>
      </c>
      <c r="I24" s="9">
        <v>20</v>
      </c>
      <c r="J24" s="9">
        <v>11</v>
      </c>
      <c r="K24" s="9">
        <v>4</v>
      </c>
      <c r="L24" s="9">
        <v>13</v>
      </c>
      <c r="M24" s="9">
        <v>3</v>
      </c>
      <c r="N24" s="9">
        <f t="shared" si="0"/>
        <v>114</v>
      </c>
    </row>
    <row r="25" spans="1:14" x14ac:dyDescent="0.25">
      <c r="A25" s="12" t="s">
        <v>23</v>
      </c>
      <c r="B25" s="9">
        <v>0</v>
      </c>
      <c r="C25" s="9">
        <v>5</v>
      </c>
      <c r="D25" s="9">
        <v>2</v>
      </c>
      <c r="E25" s="9">
        <v>8</v>
      </c>
      <c r="F25" s="9">
        <v>13</v>
      </c>
      <c r="G25" s="9">
        <v>6</v>
      </c>
      <c r="H25" s="9">
        <v>15</v>
      </c>
      <c r="I25" s="9">
        <v>3</v>
      </c>
      <c r="J25" s="9">
        <v>3</v>
      </c>
      <c r="K25" s="9">
        <v>15</v>
      </c>
      <c r="L25" s="9">
        <v>13</v>
      </c>
      <c r="M25" s="9">
        <v>8</v>
      </c>
      <c r="N25" s="9">
        <f t="shared" si="0"/>
        <v>91</v>
      </c>
    </row>
    <row r="26" spans="1:14" x14ac:dyDescent="0.25">
      <c r="A26" s="12" t="s">
        <v>24</v>
      </c>
      <c r="B26" s="9">
        <v>2</v>
      </c>
      <c r="C26" s="9">
        <v>2</v>
      </c>
      <c r="D26" s="9">
        <v>11</v>
      </c>
      <c r="E26" s="9">
        <v>0</v>
      </c>
      <c r="F26" s="9">
        <v>3</v>
      </c>
      <c r="G26" s="9">
        <v>9</v>
      </c>
      <c r="H26" s="9">
        <v>2</v>
      </c>
      <c r="I26" s="9">
        <v>2</v>
      </c>
      <c r="J26" s="9">
        <v>17</v>
      </c>
      <c r="K26" s="9">
        <v>4</v>
      </c>
      <c r="L26" s="9">
        <v>3</v>
      </c>
      <c r="M26" s="9">
        <v>6</v>
      </c>
      <c r="N26" s="9">
        <f t="shared" si="0"/>
        <v>61</v>
      </c>
    </row>
    <row r="27" spans="1:14" x14ac:dyDescent="0.25">
      <c r="A27" s="12" t="s">
        <v>25</v>
      </c>
      <c r="B27" s="9">
        <v>1</v>
      </c>
      <c r="C27" s="9">
        <v>3</v>
      </c>
      <c r="D27" s="9">
        <v>9</v>
      </c>
      <c r="E27" s="9">
        <v>2</v>
      </c>
      <c r="F27" s="9">
        <v>3</v>
      </c>
      <c r="G27" s="9">
        <v>8</v>
      </c>
      <c r="H27" s="9">
        <v>8</v>
      </c>
      <c r="I27" s="9">
        <v>3</v>
      </c>
      <c r="J27" s="9">
        <v>13</v>
      </c>
      <c r="K27" s="9">
        <v>23</v>
      </c>
      <c r="L27" s="9">
        <v>18</v>
      </c>
      <c r="M27" s="9">
        <v>1</v>
      </c>
      <c r="N27" s="9">
        <f t="shared" si="0"/>
        <v>92</v>
      </c>
    </row>
    <row r="28" spans="1:14" x14ac:dyDescent="0.25">
      <c r="A28" s="12" t="s">
        <v>26</v>
      </c>
      <c r="B28" s="9">
        <v>648</v>
      </c>
      <c r="C28" s="9">
        <v>613</v>
      </c>
      <c r="D28" s="9">
        <v>706</v>
      </c>
      <c r="E28" s="9">
        <v>698</v>
      </c>
      <c r="F28" s="9">
        <v>752</v>
      </c>
      <c r="G28" s="9">
        <v>729</v>
      </c>
      <c r="H28" s="9">
        <v>785</v>
      </c>
      <c r="I28" s="9">
        <v>799</v>
      </c>
      <c r="J28" s="9">
        <v>729</v>
      </c>
      <c r="K28" s="9">
        <v>724</v>
      </c>
      <c r="L28" s="16">
        <v>689</v>
      </c>
      <c r="M28" s="16">
        <v>735</v>
      </c>
      <c r="N28" s="9">
        <f t="shared" si="0"/>
        <v>8607</v>
      </c>
    </row>
    <row r="29" spans="1:14" x14ac:dyDescent="0.25">
      <c r="A29" s="12" t="s">
        <v>27</v>
      </c>
      <c r="B29" s="9">
        <v>255</v>
      </c>
      <c r="C29" s="9">
        <v>283</v>
      </c>
      <c r="D29" s="9">
        <v>399</v>
      </c>
      <c r="E29" s="9">
        <v>324</v>
      </c>
      <c r="F29" s="9">
        <v>545</v>
      </c>
      <c r="G29" s="9">
        <v>695</v>
      </c>
      <c r="H29" s="9">
        <v>541</v>
      </c>
      <c r="I29" s="9">
        <v>510</v>
      </c>
      <c r="J29" s="9">
        <v>365</v>
      </c>
      <c r="K29" s="9">
        <v>293</v>
      </c>
      <c r="L29" s="9">
        <v>231</v>
      </c>
      <c r="M29" s="9">
        <v>294</v>
      </c>
      <c r="N29" s="9">
        <f t="shared" si="0"/>
        <v>4735</v>
      </c>
    </row>
    <row r="30" spans="1:14" x14ac:dyDescent="0.25">
      <c r="A30" s="17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x14ac:dyDescent="0.25">
      <c r="A31" s="12" t="s">
        <v>50</v>
      </c>
      <c r="B31" s="30">
        <f t="shared" ref="B31:M31" si="1">B4+B5+B9+B10+B11+B20+B21+B22+B23+B24+B25+B27</f>
        <v>7200</v>
      </c>
      <c r="C31" s="30">
        <f t="shared" si="1"/>
        <v>7470</v>
      </c>
      <c r="D31" s="30">
        <f t="shared" si="1"/>
        <v>9399</v>
      </c>
      <c r="E31" s="30">
        <f t="shared" si="1"/>
        <v>9425</v>
      </c>
      <c r="F31" s="30">
        <f t="shared" si="1"/>
        <v>10575</v>
      </c>
      <c r="G31" s="30">
        <f t="shared" si="1"/>
        <v>10532</v>
      </c>
      <c r="H31" s="30">
        <f t="shared" si="1"/>
        <v>10661</v>
      </c>
      <c r="I31" s="30">
        <f t="shared" si="1"/>
        <v>11737</v>
      </c>
      <c r="J31" s="30">
        <f t="shared" si="1"/>
        <v>8657</v>
      </c>
      <c r="K31" s="30">
        <f>K4+K5+K9+K10+K11+K20+K21+K22+K23+K24+K25+K27</f>
        <v>8308</v>
      </c>
      <c r="L31" s="30">
        <f t="shared" si="1"/>
        <v>8109</v>
      </c>
      <c r="M31" s="30">
        <f t="shared" si="1"/>
        <v>7908</v>
      </c>
      <c r="N31" s="9">
        <f>SUM(B31:M31)</f>
        <v>109981</v>
      </c>
    </row>
    <row r="32" spans="1:14" x14ac:dyDescent="0.25">
      <c r="A32" s="12" t="s">
        <v>28</v>
      </c>
      <c r="B32" s="30">
        <f t="shared" ref="B32:L32" si="2">B4+B5+B6+B7+B8+B9+B10+B11+B12+B15+B17+B20+B21+B22+B23+B24+B25+B27+B29</f>
        <v>11729</v>
      </c>
      <c r="C32" s="30">
        <f t="shared" si="2"/>
        <v>12947</v>
      </c>
      <c r="D32" s="30">
        <f t="shared" si="2"/>
        <v>15803</v>
      </c>
      <c r="E32" s="30">
        <f t="shared" si="2"/>
        <v>16169</v>
      </c>
      <c r="F32" s="30">
        <f t="shared" si="2"/>
        <v>19584</v>
      </c>
      <c r="G32" s="30">
        <f t="shared" si="2"/>
        <v>19635</v>
      </c>
      <c r="H32" s="30">
        <f t="shared" si="2"/>
        <v>22326</v>
      </c>
      <c r="I32" s="30">
        <f t="shared" si="2"/>
        <v>25368</v>
      </c>
      <c r="J32" s="30">
        <f t="shared" si="2"/>
        <v>16522</v>
      </c>
      <c r="K32" s="30">
        <f>K4+K5+K6+K7+K8+K9+K10+K11+K12+K15+K17+K20+K21+K22+K23+K24+K25+K27+K29</f>
        <v>14858</v>
      </c>
      <c r="L32" s="30">
        <f t="shared" si="2"/>
        <v>14031</v>
      </c>
      <c r="M32" s="30">
        <f>M4+M5+M6+M7+M8+M9+M10+M11+M12+M15+M17+M20+M21+M22+M23+M24+M25+M27+M29</f>
        <v>13830</v>
      </c>
      <c r="N32" s="9">
        <f>SUM(B32:M32)</f>
        <v>202802</v>
      </c>
    </row>
    <row r="33" spans="1:14" x14ac:dyDescent="0.25">
      <c r="A33" s="12" t="s">
        <v>46</v>
      </c>
      <c r="B33" s="30">
        <f t="shared" ref="B33:M33" si="3">SUM(B4:B29)-B14-B16-B28-B29-B15</f>
        <v>11289</v>
      </c>
      <c r="C33" s="30">
        <f t="shared" si="3"/>
        <v>12474</v>
      </c>
      <c r="D33" s="30">
        <f t="shared" si="3"/>
        <v>15083</v>
      </c>
      <c r="E33" s="30">
        <f t="shared" si="3"/>
        <v>15423</v>
      </c>
      <c r="F33" s="30">
        <f t="shared" si="3"/>
        <v>18678</v>
      </c>
      <c r="G33" s="30">
        <f t="shared" si="3"/>
        <v>18714</v>
      </c>
      <c r="H33" s="30">
        <f t="shared" si="3"/>
        <v>21885</v>
      </c>
      <c r="I33" s="30">
        <f t="shared" si="3"/>
        <v>24946</v>
      </c>
      <c r="J33" s="30">
        <f t="shared" si="3"/>
        <v>15909</v>
      </c>
      <c r="K33" s="30">
        <f>SUM(K4:K29)-K14-K16-K28-K29-K15</f>
        <v>14350</v>
      </c>
      <c r="L33" s="30">
        <f t="shared" si="3"/>
        <v>13442</v>
      </c>
      <c r="M33" s="30">
        <f t="shared" si="3"/>
        <v>13486</v>
      </c>
      <c r="N33" s="9">
        <f>SUM(B33:M33)</f>
        <v>195679</v>
      </c>
    </row>
    <row r="34" spans="1:14" x14ac:dyDescent="0.25">
      <c r="A34" s="12" t="s">
        <v>51</v>
      </c>
      <c r="B34" s="30">
        <f t="shared" ref="B34:M34" si="4">+B29+B15</f>
        <v>492</v>
      </c>
      <c r="C34" s="30">
        <f t="shared" si="4"/>
        <v>509</v>
      </c>
      <c r="D34" s="30">
        <f t="shared" si="4"/>
        <v>796</v>
      </c>
      <c r="E34" s="30">
        <f t="shared" si="4"/>
        <v>825</v>
      </c>
      <c r="F34" s="30">
        <f t="shared" si="4"/>
        <v>1036</v>
      </c>
      <c r="G34" s="30">
        <f t="shared" si="4"/>
        <v>1028</v>
      </c>
      <c r="H34" s="30">
        <f t="shared" si="4"/>
        <v>541</v>
      </c>
      <c r="I34" s="30">
        <f t="shared" si="4"/>
        <v>510</v>
      </c>
      <c r="J34" s="30">
        <f t="shared" si="4"/>
        <v>711</v>
      </c>
      <c r="K34" s="30">
        <f t="shared" si="4"/>
        <v>722</v>
      </c>
      <c r="L34" s="30">
        <f t="shared" si="4"/>
        <v>653</v>
      </c>
      <c r="M34" s="30">
        <f t="shared" si="4"/>
        <v>395</v>
      </c>
      <c r="N34" s="9">
        <f>SUM(B34:M34)</f>
        <v>8218</v>
      </c>
    </row>
    <row r="35" spans="1:14" x14ac:dyDescent="0.25">
      <c r="A35" s="12" t="s">
        <v>52</v>
      </c>
      <c r="B35" s="30">
        <f t="shared" ref="B35:L35" si="5">+B6+B7+B8+B17+B29+B15</f>
        <v>4529</v>
      </c>
      <c r="C35" s="30">
        <f t="shared" si="5"/>
        <v>5477</v>
      </c>
      <c r="D35" s="30">
        <f t="shared" si="5"/>
        <v>6398</v>
      </c>
      <c r="E35" s="30">
        <f t="shared" si="5"/>
        <v>6730</v>
      </c>
      <c r="F35" s="30">
        <f t="shared" si="5"/>
        <v>8998</v>
      </c>
      <c r="G35" s="30">
        <f t="shared" si="5"/>
        <v>9070</v>
      </c>
      <c r="H35" s="30">
        <f t="shared" si="5"/>
        <v>11630</v>
      </c>
      <c r="I35" s="30">
        <f t="shared" si="5"/>
        <v>13595</v>
      </c>
      <c r="J35" s="30">
        <f t="shared" si="5"/>
        <v>7825</v>
      </c>
      <c r="K35" s="30">
        <f>+K6+K7+K8+K17+K29+K15</f>
        <v>6544</v>
      </c>
      <c r="L35" s="30">
        <f t="shared" si="5"/>
        <v>5918</v>
      </c>
      <c r="M35" s="30">
        <f>+M6+M7+M8+M17+M29+M15</f>
        <v>5919</v>
      </c>
      <c r="N35" s="9">
        <f>SUM(B35:M35)</f>
        <v>92633</v>
      </c>
    </row>
    <row r="36" spans="1:14" x14ac:dyDescent="0.25">
      <c r="A36" s="15"/>
      <c r="B36" s="18">
        <f t="shared" ref="B36:N36" si="6">SUM(B4:B29)</f>
        <v>12447</v>
      </c>
      <c r="C36" s="18">
        <f t="shared" si="6"/>
        <v>13638</v>
      </c>
      <c r="D36" s="18">
        <f t="shared" si="6"/>
        <v>16715.5</v>
      </c>
      <c r="E36" s="18">
        <f t="shared" si="6"/>
        <v>17087.5</v>
      </c>
      <c r="F36" s="18">
        <f t="shared" si="6"/>
        <v>22558.5</v>
      </c>
      <c r="G36" s="18">
        <f t="shared" si="6"/>
        <v>22796</v>
      </c>
      <c r="H36" s="18">
        <f t="shared" si="6"/>
        <v>26454.5</v>
      </c>
      <c r="I36" s="18">
        <f t="shared" si="6"/>
        <v>29620</v>
      </c>
      <c r="J36" s="18">
        <f t="shared" si="6"/>
        <v>19532.5</v>
      </c>
      <c r="K36" s="18">
        <f t="shared" si="6"/>
        <v>15928</v>
      </c>
      <c r="L36" s="18">
        <f t="shared" si="6"/>
        <v>14977</v>
      </c>
      <c r="M36" s="18">
        <f t="shared" si="6"/>
        <v>14648</v>
      </c>
      <c r="N36" s="18">
        <f t="shared" si="6"/>
        <v>226402.5</v>
      </c>
    </row>
    <row r="37" spans="1:14" x14ac:dyDescent="0.25">
      <c r="A37" s="19"/>
    </row>
    <row r="39" spans="1:14" ht="30.75" customHeight="1" x14ac:dyDescent="0.25">
      <c r="A39" s="104" t="s">
        <v>47</v>
      </c>
      <c r="B39" s="104"/>
      <c r="C39" s="104"/>
      <c r="D39" s="104"/>
      <c r="E39" s="104"/>
      <c r="F39" s="104"/>
      <c r="G39" s="104"/>
      <c r="H39" s="104"/>
      <c r="I39" s="104"/>
    </row>
    <row r="40" spans="1:14" ht="45" customHeight="1" x14ac:dyDescent="0.25">
      <c r="A40" s="105" t="s">
        <v>48</v>
      </c>
      <c r="B40" s="105"/>
      <c r="C40" s="105"/>
      <c r="D40" s="105"/>
      <c r="E40" s="105"/>
      <c r="F40" s="105"/>
      <c r="G40" s="105"/>
      <c r="H40" s="105"/>
      <c r="I40" s="105"/>
    </row>
    <row r="41" spans="1:14" ht="43.5" customHeight="1" x14ac:dyDescent="0.25">
      <c r="A41" s="105" t="s">
        <v>53</v>
      </c>
      <c r="B41" s="105"/>
      <c r="C41" s="105"/>
      <c r="D41" s="105"/>
      <c r="E41" s="105"/>
      <c r="F41" s="105"/>
      <c r="G41" s="105"/>
      <c r="H41" s="105"/>
      <c r="I41" s="105"/>
    </row>
    <row r="42" spans="1:14" x14ac:dyDescent="0.25">
      <c r="A42" s="106" t="s">
        <v>49</v>
      </c>
      <c r="B42" s="106"/>
      <c r="C42" s="106"/>
      <c r="D42" s="106"/>
      <c r="E42" s="106"/>
      <c r="F42" s="106"/>
      <c r="G42" s="106"/>
      <c r="H42" s="106"/>
      <c r="I42" s="106"/>
    </row>
  </sheetData>
  <mergeCells count="4">
    <mergeCell ref="A39:I39"/>
    <mergeCell ref="A40:I40"/>
    <mergeCell ref="A41:I41"/>
    <mergeCell ref="A42:I42"/>
  </mergeCells>
  <phoneticPr fontId="0" type="noConversion"/>
  <pageMargins left="0.75" right="0.75" top="1" bottom="1" header="0.5" footer="0.5"/>
  <pageSetup scale="88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O42"/>
  <sheetViews>
    <sheetView workbookViewId="0">
      <pane xSplit="1" ySplit="3" topLeftCell="E16" activePane="bottomRight" state="frozen"/>
      <selection activeCell="A19" sqref="A19"/>
      <selection pane="topRight" activeCell="A19" sqref="A19"/>
      <selection pane="bottomLeft" activeCell="A19" sqref="A19"/>
      <selection pane="bottomRight" activeCell="M36" sqref="M36"/>
    </sheetView>
  </sheetViews>
  <sheetFormatPr defaultColWidth="9.75" defaultRowHeight="16.2" x14ac:dyDescent="0.25"/>
  <cols>
    <col min="1" max="1" width="23.9140625" style="11" bestFit="1" customWidth="1"/>
    <col min="2" max="13" width="6.75" style="11" customWidth="1"/>
    <col min="14" max="16384" width="9.75" style="11"/>
  </cols>
  <sheetData>
    <row r="1" spans="1:15" ht="18.600000000000001" x14ac:dyDescent="0.25">
      <c r="A1" s="10" t="s">
        <v>96</v>
      </c>
    </row>
    <row r="3" spans="1:15" ht="16.8" x14ac:dyDescent="0.25">
      <c r="A3" s="12" t="s">
        <v>1</v>
      </c>
      <c r="B3" s="13" t="s">
        <v>29</v>
      </c>
      <c r="C3" s="13" t="s">
        <v>30</v>
      </c>
      <c r="D3" s="13" t="s">
        <v>31</v>
      </c>
      <c r="E3" s="13" t="s">
        <v>32</v>
      </c>
      <c r="F3" s="13" t="s">
        <v>33</v>
      </c>
      <c r="G3" s="13" t="s">
        <v>34</v>
      </c>
      <c r="H3" s="13" t="s">
        <v>35</v>
      </c>
      <c r="I3" s="13" t="s">
        <v>36</v>
      </c>
      <c r="J3" s="13" t="s">
        <v>37</v>
      </c>
      <c r="K3" s="13" t="s">
        <v>38</v>
      </c>
      <c r="L3" s="13" t="s">
        <v>39</v>
      </c>
      <c r="M3" s="13" t="s">
        <v>40</v>
      </c>
      <c r="N3" s="14" t="s">
        <v>41</v>
      </c>
      <c r="O3" s="15"/>
    </row>
    <row r="4" spans="1:15" x14ac:dyDescent="0.25">
      <c r="A4" s="12" t="s">
        <v>2</v>
      </c>
      <c r="B4" s="9">
        <v>598</v>
      </c>
      <c r="C4" s="9">
        <v>533</v>
      </c>
      <c r="D4" s="9">
        <v>793</v>
      </c>
      <c r="E4" s="9">
        <v>728</v>
      </c>
      <c r="F4" s="9">
        <v>988</v>
      </c>
      <c r="G4" s="9">
        <v>494</v>
      </c>
      <c r="H4" s="9">
        <v>1183</v>
      </c>
      <c r="I4" s="9">
        <v>1326</v>
      </c>
      <c r="J4" s="9">
        <v>728</v>
      </c>
      <c r="K4" s="9">
        <v>741</v>
      </c>
      <c r="L4" s="9">
        <v>624</v>
      </c>
      <c r="M4" s="9">
        <v>650</v>
      </c>
      <c r="N4" s="9">
        <f t="shared" ref="N4:N29" si="0">SUM(B4:M4)</f>
        <v>9386</v>
      </c>
      <c r="O4" s="15"/>
    </row>
    <row r="5" spans="1:15" x14ac:dyDescent="0.25">
      <c r="A5" s="12" t="s">
        <v>3</v>
      </c>
      <c r="B5" s="9">
        <v>6125</v>
      </c>
      <c r="C5" s="9">
        <v>5825</v>
      </c>
      <c r="D5" s="9">
        <v>6950</v>
      </c>
      <c r="E5" s="9">
        <v>7000</v>
      </c>
      <c r="F5" s="9">
        <v>7375</v>
      </c>
      <c r="G5" s="9">
        <v>4650</v>
      </c>
      <c r="H5" s="9">
        <v>6850</v>
      </c>
      <c r="I5" s="9">
        <v>6450</v>
      </c>
      <c r="J5" s="9">
        <v>5950</v>
      </c>
      <c r="K5" s="9">
        <v>6175</v>
      </c>
      <c r="L5" s="9">
        <v>6150</v>
      </c>
      <c r="M5" s="9">
        <v>6750</v>
      </c>
      <c r="N5" s="9">
        <f t="shared" si="0"/>
        <v>76250</v>
      </c>
      <c r="O5" s="15"/>
    </row>
    <row r="6" spans="1:15" x14ac:dyDescent="0.25">
      <c r="A6" s="12" t="s">
        <v>4</v>
      </c>
      <c r="B6" s="9">
        <v>2550</v>
      </c>
      <c r="C6" s="9">
        <v>2250</v>
      </c>
      <c r="D6" s="9">
        <v>2925</v>
      </c>
      <c r="E6" s="9">
        <v>3350</v>
      </c>
      <c r="F6" s="9">
        <v>3625</v>
      </c>
      <c r="G6" s="9">
        <v>6900</v>
      </c>
      <c r="H6" s="9">
        <v>4800</v>
      </c>
      <c r="I6" s="9">
        <v>5075</v>
      </c>
      <c r="J6" s="9">
        <v>3275</v>
      </c>
      <c r="K6" s="9">
        <v>3550</v>
      </c>
      <c r="L6" s="9">
        <v>3125</v>
      </c>
      <c r="M6" s="9">
        <v>2800</v>
      </c>
      <c r="N6" s="9">
        <f t="shared" si="0"/>
        <v>44225</v>
      </c>
      <c r="O6" s="15"/>
    </row>
    <row r="7" spans="1:15" x14ac:dyDescent="0.25">
      <c r="A7" s="12" t="s">
        <v>5</v>
      </c>
      <c r="B7" s="9">
        <v>1094</v>
      </c>
      <c r="C7" s="9">
        <v>965</v>
      </c>
      <c r="D7" s="9">
        <v>1357</v>
      </c>
      <c r="E7" s="9">
        <v>1520</v>
      </c>
      <c r="F7" s="9">
        <v>2117</v>
      </c>
      <c r="G7" s="9">
        <v>2721</v>
      </c>
      <c r="H7" s="9">
        <v>3937</v>
      </c>
      <c r="I7" s="9">
        <v>3831</v>
      </c>
      <c r="J7" s="9">
        <v>2535</v>
      </c>
      <c r="K7" s="9">
        <v>1638</v>
      </c>
      <c r="L7" s="9">
        <v>1543</v>
      </c>
      <c r="M7" s="9">
        <v>1543</v>
      </c>
      <c r="N7" s="9">
        <f t="shared" si="0"/>
        <v>24801</v>
      </c>
      <c r="O7" s="15"/>
    </row>
    <row r="8" spans="1:15" x14ac:dyDescent="0.25">
      <c r="A8" s="12" t="s">
        <v>6</v>
      </c>
      <c r="B8" s="9">
        <v>253</v>
      </c>
      <c r="C8" s="9">
        <v>313</v>
      </c>
      <c r="D8" s="9">
        <v>377</v>
      </c>
      <c r="E8" s="9">
        <v>570</v>
      </c>
      <c r="F8" s="9">
        <v>560</v>
      </c>
      <c r="G8" s="9">
        <v>691</v>
      </c>
      <c r="H8" s="9">
        <v>1462</v>
      </c>
      <c r="I8" s="9">
        <v>1495</v>
      </c>
      <c r="J8" s="9">
        <v>591</v>
      </c>
      <c r="K8" s="9">
        <v>363</v>
      </c>
      <c r="L8" s="9">
        <v>416</v>
      </c>
      <c r="M8" s="9">
        <v>462</v>
      </c>
      <c r="N8" s="9">
        <f t="shared" si="0"/>
        <v>7553</v>
      </c>
      <c r="O8" s="15"/>
    </row>
    <row r="9" spans="1:15" x14ac:dyDescent="0.25">
      <c r="A9" s="12" t="s">
        <v>7</v>
      </c>
      <c r="B9" s="9">
        <v>970</v>
      </c>
      <c r="C9" s="9">
        <v>946</v>
      </c>
      <c r="D9" s="9">
        <v>1250</v>
      </c>
      <c r="E9" s="9">
        <v>1340</v>
      </c>
      <c r="F9" s="9">
        <v>1656</v>
      </c>
      <c r="G9" s="9">
        <v>1019</v>
      </c>
      <c r="H9" s="9">
        <v>2509</v>
      </c>
      <c r="I9" s="9">
        <v>2643</v>
      </c>
      <c r="J9" s="9">
        <v>1818</v>
      </c>
      <c r="K9" s="9">
        <v>1465</v>
      </c>
      <c r="L9" s="9">
        <v>1358</v>
      </c>
      <c r="M9" s="9">
        <v>1474</v>
      </c>
      <c r="N9" s="9">
        <f t="shared" si="0"/>
        <v>18448</v>
      </c>
      <c r="O9" s="15"/>
    </row>
    <row r="10" spans="1:15" x14ac:dyDescent="0.25">
      <c r="A10" s="12" t="s">
        <v>8</v>
      </c>
      <c r="B10" s="9">
        <v>1</v>
      </c>
      <c r="C10" s="9">
        <v>5</v>
      </c>
      <c r="D10" s="9">
        <v>3</v>
      </c>
      <c r="E10" s="9">
        <v>2</v>
      </c>
      <c r="F10" s="9">
        <v>6</v>
      </c>
      <c r="G10" s="9">
        <v>1</v>
      </c>
      <c r="H10" s="9">
        <v>0</v>
      </c>
      <c r="I10" s="9">
        <v>3</v>
      </c>
      <c r="J10" s="9">
        <v>1</v>
      </c>
      <c r="K10" s="9">
        <v>2</v>
      </c>
      <c r="L10" s="9">
        <v>0</v>
      </c>
      <c r="M10" s="9">
        <v>1</v>
      </c>
      <c r="N10" s="9">
        <f t="shared" si="0"/>
        <v>25</v>
      </c>
      <c r="O10" s="15"/>
    </row>
    <row r="11" spans="1:15" x14ac:dyDescent="0.25">
      <c r="A11" s="12" t="s">
        <v>9</v>
      </c>
      <c r="B11" s="9">
        <v>10</v>
      </c>
      <c r="C11" s="9">
        <v>14</v>
      </c>
      <c r="D11" s="9">
        <v>11</v>
      </c>
      <c r="E11" s="9">
        <v>16</v>
      </c>
      <c r="F11" s="9">
        <v>13</v>
      </c>
      <c r="G11" s="9">
        <v>13</v>
      </c>
      <c r="H11" s="9">
        <v>19</v>
      </c>
      <c r="I11" s="9">
        <v>18</v>
      </c>
      <c r="J11" s="9">
        <v>11</v>
      </c>
      <c r="K11" s="9">
        <v>17</v>
      </c>
      <c r="L11" s="9">
        <v>12</v>
      </c>
      <c r="M11" s="9">
        <v>18</v>
      </c>
      <c r="N11" s="9">
        <f t="shared" si="0"/>
        <v>172</v>
      </c>
      <c r="O11" s="15"/>
    </row>
    <row r="12" spans="1:15" x14ac:dyDescent="0.25">
      <c r="A12" s="12" t="s">
        <v>10</v>
      </c>
      <c r="B12" s="9">
        <v>4</v>
      </c>
      <c r="C12" s="9">
        <v>0</v>
      </c>
      <c r="D12" s="9">
        <v>2</v>
      </c>
      <c r="E12" s="9">
        <v>8</v>
      </c>
      <c r="F12" s="9">
        <v>22</v>
      </c>
      <c r="G12" s="9">
        <v>16</v>
      </c>
      <c r="H12" s="9">
        <v>38</v>
      </c>
      <c r="I12" s="9">
        <v>36</v>
      </c>
      <c r="J12" s="9">
        <v>27</v>
      </c>
      <c r="K12" s="9">
        <v>2</v>
      </c>
      <c r="L12" s="9">
        <v>6</v>
      </c>
      <c r="M12" s="9">
        <v>2</v>
      </c>
      <c r="N12" s="9">
        <f t="shared" si="0"/>
        <v>163</v>
      </c>
      <c r="O12" s="15"/>
    </row>
    <row r="13" spans="1:15" x14ac:dyDescent="0.25">
      <c r="A13" s="12" t="s">
        <v>11</v>
      </c>
      <c r="B13" s="9">
        <v>21</v>
      </c>
      <c r="C13" s="9">
        <v>19</v>
      </c>
      <c r="D13" s="9">
        <v>22</v>
      </c>
      <c r="E13" s="9">
        <v>16</v>
      </c>
      <c r="F13" s="9">
        <v>22</v>
      </c>
      <c r="G13" s="9">
        <v>11</v>
      </c>
      <c r="H13" s="9">
        <v>0</v>
      </c>
      <c r="I13" s="9">
        <v>0</v>
      </c>
      <c r="J13" s="9">
        <v>19</v>
      </c>
      <c r="K13" s="9">
        <v>21</v>
      </c>
      <c r="L13" s="16">
        <v>19</v>
      </c>
      <c r="M13" s="16">
        <v>12</v>
      </c>
      <c r="N13" s="9">
        <f t="shared" si="0"/>
        <v>182</v>
      </c>
      <c r="O13" s="15"/>
    </row>
    <row r="14" spans="1:15" x14ac:dyDescent="0.25">
      <c r="A14" s="12" t="s">
        <v>12</v>
      </c>
      <c r="B14" s="9">
        <v>41</v>
      </c>
      <c r="C14" s="9">
        <v>22</v>
      </c>
      <c r="D14" s="9">
        <v>61</v>
      </c>
      <c r="E14" s="9">
        <v>32</v>
      </c>
      <c r="F14" s="9">
        <v>114.5</v>
      </c>
      <c r="G14" s="9">
        <v>97</v>
      </c>
      <c r="H14" s="9">
        <v>240</v>
      </c>
      <c r="I14" s="9">
        <v>213</v>
      </c>
      <c r="J14" s="9">
        <v>82.5</v>
      </c>
      <c r="K14" s="9">
        <v>426.5</v>
      </c>
      <c r="L14" s="9">
        <v>157</v>
      </c>
      <c r="M14" s="9">
        <v>62</v>
      </c>
      <c r="N14" s="9">
        <f t="shared" si="0"/>
        <v>1548.5</v>
      </c>
      <c r="O14" s="15"/>
    </row>
    <row r="15" spans="1:15" x14ac:dyDescent="0.25">
      <c r="A15" s="12" t="s">
        <v>13</v>
      </c>
      <c r="B15" s="9">
        <v>378</v>
      </c>
      <c r="C15" s="9">
        <v>425</v>
      </c>
      <c r="D15" s="9">
        <v>451</v>
      </c>
      <c r="E15" s="9">
        <v>414</v>
      </c>
      <c r="F15" s="9">
        <v>463</v>
      </c>
      <c r="G15" s="9">
        <v>175</v>
      </c>
      <c r="H15" s="9">
        <v>0</v>
      </c>
      <c r="I15" s="9">
        <v>0</v>
      </c>
      <c r="J15" s="9">
        <v>445</v>
      </c>
      <c r="K15" s="9">
        <v>546</v>
      </c>
      <c r="L15" s="9">
        <v>329</v>
      </c>
      <c r="M15" s="9">
        <v>223</v>
      </c>
      <c r="N15" s="9">
        <f t="shared" si="0"/>
        <v>3849</v>
      </c>
      <c r="O15" s="15"/>
    </row>
    <row r="16" spans="1:15" x14ac:dyDescent="0.25">
      <c r="A16" s="12" t="s">
        <v>14</v>
      </c>
      <c r="B16" s="9">
        <v>0</v>
      </c>
      <c r="C16" s="9">
        <v>0</v>
      </c>
      <c r="D16" s="9">
        <v>0</v>
      </c>
      <c r="E16" s="9">
        <v>0</v>
      </c>
      <c r="F16" s="9">
        <v>2000</v>
      </c>
      <c r="G16" s="9">
        <v>1257</v>
      </c>
      <c r="H16" s="9">
        <v>2934</v>
      </c>
      <c r="I16" s="9">
        <v>3094</v>
      </c>
      <c r="J16" s="9">
        <v>2139</v>
      </c>
      <c r="K16" s="9">
        <v>0</v>
      </c>
      <c r="L16" s="9">
        <v>0</v>
      </c>
      <c r="M16" s="9">
        <v>0</v>
      </c>
      <c r="N16" s="9">
        <f t="shared" si="0"/>
        <v>11424</v>
      </c>
      <c r="O16" s="15"/>
    </row>
    <row r="17" spans="1:15" x14ac:dyDescent="0.25">
      <c r="A17" s="12" t="s">
        <v>15</v>
      </c>
      <c r="B17" s="9">
        <v>250</v>
      </c>
      <c r="C17" s="9">
        <v>275</v>
      </c>
      <c r="D17" s="9">
        <v>450</v>
      </c>
      <c r="E17" s="9">
        <v>650</v>
      </c>
      <c r="F17" s="9">
        <v>350</v>
      </c>
      <c r="G17" s="9">
        <v>625</v>
      </c>
      <c r="H17" s="9">
        <v>675</v>
      </c>
      <c r="I17" s="9">
        <v>925</v>
      </c>
      <c r="J17" s="9">
        <v>375</v>
      </c>
      <c r="K17" s="9">
        <v>400</v>
      </c>
      <c r="L17" s="9">
        <v>275</v>
      </c>
      <c r="M17" s="9">
        <v>550</v>
      </c>
      <c r="N17" s="9">
        <f t="shared" si="0"/>
        <v>5800</v>
      </c>
      <c r="O17" s="15"/>
    </row>
    <row r="18" spans="1:15" x14ac:dyDescent="0.25">
      <c r="A18" s="12" t="s">
        <v>16</v>
      </c>
      <c r="B18" s="9">
        <v>18</v>
      </c>
      <c r="C18" s="9">
        <v>12</v>
      </c>
      <c r="D18" s="9">
        <v>26</v>
      </c>
      <c r="E18" s="9">
        <v>24</v>
      </c>
      <c r="F18" s="9">
        <v>28</v>
      </c>
      <c r="G18" s="9">
        <v>14</v>
      </c>
      <c r="H18" s="9">
        <v>27</v>
      </c>
      <c r="I18" s="9">
        <v>24</v>
      </c>
      <c r="J18" s="9">
        <v>21</v>
      </c>
      <c r="K18" s="9">
        <v>9</v>
      </c>
      <c r="L18" s="9">
        <v>31</v>
      </c>
      <c r="M18" s="9">
        <v>19</v>
      </c>
      <c r="N18" s="9">
        <f t="shared" si="0"/>
        <v>253</v>
      </c>
      <c r="O18" s="15"/>
    </row>
    <row r="19" spans="1:15" x14ac:dyDescent="0.25">
      <c r="A19" s="12" t="s">
        <v>17</v>
      </c>
      <c r="B19" s="9">
        <v>15</v>
      </c>
      <c r="C19" s="9">
        <v>13</v>
      </c>
      <c r="D19" s="9">
        <v>12</v>
      </c>
      <c r="E19" s="9">
        <v>26</v>
      </c>
      <c r="F19" s="9">
        <v>50</v>
      </c>
      <c r="G19" s="9">
        <v>23</v>
      </c>
      <c r="H19" s="9">
        <v>55</v>
      </c>
      <c r="I19" s="9">
        <v>46</v>
      </c>
      <c r="J19" s="9">
        <v>37</v>
      </c>
      <c r="K19" s="9">
        <v>25</v>
      </c>
      <c r="L19" s="9">
        <v>27</v>
      </c>
      <c r="M19" s="9">
        <v>14</v>
      </c>
      <c r="N19" s="9">
        <f t="shared" si="0"/>
        <v>343</v>
      </c>
      <c r="O19" s="15"/>
    </row>
    <row r="20" spans="1:15" x14ac:dyDescent="0.25">
      <c r="A20" s="12" t="s">
        <v>18</v>
      </c>
      <c r="B20" s="9">
        <v>109</v>
      </c>
      <c r="C20" s="9">
        <v>100</v>
      </c>
      <c r="D20" s="9">
        <v>119</v>
      </c>
      <c r="E20" s="9">
        <v>93</v>
      </c>
      <c r="F20" s="9">
        <v>128</v>
      </c>
      <c r="G20" s="9">
        <v>87</v>
      </c>
      <c r="H20" s="9">
        <v>153</v>
      </c>
      <c r="I20" s="9">
        <v>143</v>
      </c>
      <c r="J20" s="9">
        <v>128</v>
      </c>
      <c r="K20" s="9">
        <v>179</v>
      </c>
      <c r="L20" s="9">
        <v>115</v>
      </c>
      <c r="M20" s="9">
        <v>112</v>
      </c>
      <c r="N20" s="9">
        <f t="shared" si="0"/>
        <v>1466</v>
      </c>
      <c r="O20" s="15"/>
    </row>
    <row r="21" spans="1:15" x14ac:dyDescent="0.25">
      <c r="A21" s="12" t="s">
        <v>19</v>
      </c>
      <c r="B21" s="9">
        <v>49</v>
      </c>
      <c r="C21" s="9">
        <v>29</v>
      </c>
      <c r="D21" s="9">
        <v>72</v>
      </c>
      <c r="E21" s="9">
        <v>48</v>
      </c>
      <c r="F21" s="9">
        <v>80</v>
      </c>
      <c r="G21" s="9">
        <v>45</v>
      </c>
      <c r="H21" s="9">
        <v>97</v>
      </c>
      <c r="I21" s="9">
        <v>93</v>
      </c>
      <c r="J21" s="9">
        <v>60</v>
      </c>
      <c r="K21" s="9">
        <v>104</v>
      </c>
      <c r="L21" s="9">
        <v>79</v>
      </c>
      <c r="M21" s="9">
        <v>95</v>
      </c>
      <c r="N21" s="9">
        <f t="shared" si="0"/>
        <v>851</v>
      </c>
      <c r="O21" s="15"/>
    </row>
    <row r="22" spans="1:15" x14ac:dyDescent="0.25">
      <c r="A22" s="12" t="s">
        <v>20</v>
      </c>
      <c r="B22" s="9">
        <v>14</v>
      </c>
      <c r="C22" s="9">
        <v>25</v>
      </c>
      <c r="D22" s="9">
        <v>34</v>
      </c>
      <c r="E22" s="9">
        <v>37</v>
      </c>
      <c r="F22" s="9">
        <v>33</v>
      </c>
      <c r="G22" s="9">
        <v>45</v>
      </c>
      <c r="H22" s="9">
        <v>65</v>
      </c>
      <c r="I22" s="9">
        <v>79</v>
      </c>
      <c r="J22" s="9">
        <v>49</v>
      </c>
      <c r="K22" s="9">
        <v>52</v>
      </c>
      <c r="L22" s="9">
        <v>31</v>
      </c>
      <c r="M22" s="9">
        <v>30</v>
      </c>
      <c r="N22" s="9">
        <f t="shared" si="0"/>
        <v>494</v>
      </c>
      <c r="O22" s="15"/>
    </row>
    <row r="23" spans="1:15" x14ac:dyDescent="0.25">
      <c r="A23" s="12" t="s">
        <v>21</v>
      </c>
      <c r="B23" s="9">
        <v>18</v>
      </c>
      <c r="C23" s="9">
        <v>12</v>
      </c>
      <c r="D23" s="9">
        <v>29</v>
      </c>
      <c r="E23" s="9">
        <v>28</v>
      </c>
      <c r="F23" s="9">
        <v>40</v>
      </c>
      <c r="G23" s="9">
        <v>30</v>
      </c>
      <c r="H23" s="9">
        <v>85</v>
      </c>
      <c r="I23" s="9">
        <v>82</v>
      </c>
      <c r="J23" s="9">
        <v>55</v>
      </c>
      <c r="K23" s="9">
        <v>39</v>
      </c>
      <c r="L23" s="9">
        <v>23</v>
      </c>
      <c r="M23" s="9">
        <v>35</v>
      </c>
      <c r="N23" s="9">
        <f t="shared" si="0"/>
        <v>476</v>
      </c>
      <c r="O23" s="15"/>
    </row>
    <row r="24" spans="1:15" x14ac:dyDescent="0.25">
      <c r="A24" s="12" t="s">
        <v>22</v>
      </c>
      <c r="B24" s="9">
        <v>18</v>
      </c>
      <c r="C24" s="9">
        <v>9</v>
      </c>
      <c r="D24" s="9">
        <v>6</v>
      </c>
      <c r="E24" s="9">
        <v>13</v>
      </c>
      <c r="F24" s="9">
        <v>24</v>
      </c>
      <c r="G24" s="9">
        <v>8</v>
      </c>
      <c r="H24" s="9">
        <v>11</v>
      </c>
      <c r="I24" s="9">
        <v>27</v>
      </c>
      <c r="J24" s="9">
        <v>16</v>
      </c>
      <c r="K24" s="9">
        <v>13</v>
      </c>
      <c r="L24" s="9">
        <v>13</v>
      </c>
      <c r="M24" s="9">
        <v>15</v>
      </c>
      <c r="N24" s="9">
        <f t="shared" si="0"/>
        <v>173</v>
      </c>
      <c r="O24" s="15"/>
    </row>
    <row r="25" spans="1:15" x14ac:dyDescent="0.25">
      <c r="A25" s="12" t="s">
        <v>23</v>
      </c>
      <c r="B25" s="9">
        <v>4</v>
      </c>
      <c r="C25" s="9">
        <v>2</v>
      </c>
      <c r="D25" s="9">
        <v>6</v>
      </c>
      <c r="E25" s="9">
        <v>5</v>
      </c>
      <c r="F25" s="9">
        <v>22</v>
      </c>
      <c r="G25" s="9">
        <v>16</v>
      </c>
      <c r="H25" s="9">
        <v>9</v>
      </c>
      <c r="I25" s="9">
        <v>20</v>
      </c>
      <c r="J25" s="9">
        <v>8</v>
      </c>
      <c r="K25" s="9">
        <v>7</v>
      </c>
      <c r="L25" s="9">
        <v>5</v>
      </c>
      <c r="M25" s="9">
        <v>5</v>
      </c>
      <c r="N25" s="9">
        <f t="shared" si="0"/>
        <v>109</v>
      </c>
      <c r="O25" s="15"/>
    </row>
    <row r="26" spans="1:15" x14ac:dyDescent="0.25">
      <c r="A26" s="12" t="s">
        <v>24</v>
      </c>
      <c r="B26" s="9">
        <v>3</v>
      </c>
      <c r="C26" s="9">
        <v>4</v>
      </c>
      <c r="D26" s="9">
        <v>10</v>
      </c>
      <c r="E26" s="9">
        <v>6</v>
      </c>
      <c r="F26" s="9">
        <v>11</v>
      </c>
      <c r="G26" s="9">
        <v>11</v>
      </c>
      <c r="H26" s="9">
        <v>32</v>
      </c>
      <c r="I26" s="9">
        <v>22</v>
      </c>
      <c r="J26" s="9">
        <v>9</v>
      </c>
      <c r="K26" s="9">
        <v>22</v>
      </c>
      <c r="L26" s="9">
        <v>14</v>
      </c>
      <c r="M26" s="9">
        <v>5</v>
      </c>
      <c r="N26" s="9">
        <f t="shared" si="0"/>
        <v>149</v>
      </c>
      <c r="O26" s="15"/>
    </row>
    <row r="27" spans="1:15" x14ac:dyDescent="0.25">
      <c r="A27" s="12" t="s">
        <v>25</v>
      </c>
      <c r="B27" s="9">
        <v>4</v>
      </c>
      <c r="C27" s="9">
        <v>1</v>
      </c>
      <c r="D27" s="9">
        <v>2</v>
      </c>
      <c r="E27" s="9">
        <v>2</v>
      </c>
      <c r="F27" s="9">
        <v>8</v>
      </c>
      <c r="G27" s="9">
        <v>6</v>
      </c>
      <c r="H27" s="9">
        <v>7</v>
      </c>
      <c r="I27" s="9">
        <v>7</v>
      </c>
      <c r="J27" s="9">
        <v>5</v>
      </c>
      <c r="K27" s="9">
        <v>44</v>
      </c>
      <c r="L27" s="9">
        <v>11</v>
      </c>
      <c r="M27" s="9">
        <v>5</v>
      </c>
      <c r="N27" s="9">
        <f t="shared" si="0"/>
        <v>102</v>
      </c>
      <c r="O27" s="15"/>
    </row>
    <row r="28" spans="1:15" x14ac:dyDescent="0.25">
      <c r="A28" s="12" t="s">
        <v>26</v>
      </c>
      <c r="B28" s="9">
        <v>641</v>
      </c>
      <c r="C28" s="9">
        <v>584</v>
      </c>
      <c r="D28" s="9">
        <v>673</v>
      </c>
      <c r="E28" s="9">
        <v>683</v>
      </c>
      <c r="F28" s="9">
        <v>739</v>
      </c>
      <c r="G28" s="9">
        <v>660</v>
      </c>
      <c r="H28" s="9">
        <v>766</v>
      </c>
      <c r="I28" s="9">
        <v>781</v>
      </c>
      <c r="J28" s="9">
        <v>718</v>
      </c>
      <c r="K28" s="9">
        <v>711</v>
      </c>
      <c r="L28" s="16">
        <v>671</v>
      </c>
      <c r="M28" s="16">
        <v>711</v>
      </c>
      <c r="N28" s="9">
        <f t="shared" si="0"/>
        <v>8338</v>
      </c>
      <c r="O28" s="15"/>
    </row>
    <row r="29" spans="1:15" x14ac:dyDescent="0.25">
      <c r="A29" s="12" t="s">
        <v>27</v>
      </c>
      <c r="B29" s="9">
        <v>247</v>
      </c>
      <c r="C29" s="9">
        <v>245</v>
      </c>
      <c r="D29" s="9">
        <v>332</v>
      </c>
      <c r="E29" s="9">
        <v>419</v>
      </c>
      <c r="F29" s="9">
        <v>505</v>
      </c>
      <c r="G29" s="9">
        <v>429</v>
      </c>
      <c r="H29" s="9">
        <v>498</v>
      </c>
      <c r="I29" s="9">
        <v>681</v>
      </c>
      <c r="J29" s="9">
        <v>553</v>
      </c>
      <c r="K29" s="9">
        <v>233</v>
      </c>
      <c r="L29" s="9">
        <v>323</v>
      </c>
      <c r="M29" s="9">
        <v>312</v>
      </c>
      <c r="N29" s="9">
        <f t="shared" si="0"/>
        <v>4777</v>
      </c>
      <c r="O29" s="15"/>
    </row>
    <row r="30" spans="1:15" x14ac:dyDescent="0.25">
      <c r="A30" s="17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5"/>
    </row>
    <row r="31" spans="1:15" x14ac:dyDescent="0.25">
      <c r="A31" s="12" t="s">
        <v>50</v>
      </c>
      <c r="B31" s="30">
        <f>B4+B5+B9+B10+B11+B20+B21+B22+B23+B24+B25+B27+B12</f>
        <v>7924</v>
      </c>
      <c r="C31" s="30">
        <f t="shared" ref="C31:M31" si="1">C4+C5+C9+C10+C11+C20+C21+C22+C23+C24+C25+C27+C12</f>
        <v>7501</v>
      </c>
      <c r="D31" s="30">
        <f t="shared" si="1"/>
        <v>9277</v>
      </c>
      <c r="E31" s="30">
        <f t="shared" si="1"/>
        <v>9320</v>
      </c>
      <c r="F31" s="30">
        <f t="shared" si="1"/>
        <v>10395</v>
      </c>
      <c r="G31" s="30">
        <f t="shared" si="1"/>
        <v>6430</v>
      </c>
      <c r="H31" s="30">
        <f t="shared" si="1"/>
        <v>11026</v>
      </c>
      <c r="I31" s="30">
        <f t="shared" si="1"/>
        <v>10927</v>
      </c>
      <c r="J31" s="30">
        <f t="shared" si="1"/>
        <v>8856</v>
      </c>
      <c r="K31" s="30">
        <f t="shared" si="1"/>
        <v>8840</v>
      </c>
      <c r="L31" s="30">
        <f t="shared" si="1"/>
        <v>8427</v>
      </c>
      <c r="M31" s="30">
        <f t="shared" si="1"/>
        <v>9192</v>
      </c>
      <c r="N31" s="9">
        <f>SUM(B31:M31)</f>
        <v>108115</v>
      </c>
      <c r="O31" s="15"/>
    </row>
    <row r="32" spans="1:15" x14ac:dyDescent="0.25">
      <c r="A32" s="12" t="s">
        <v>28</v>
      </c>
      <c r="B32" s="30">
        <f t="shared" ref="B32:M32" si="2">B4+B5+B6+B7+B8+B9+B10+B11+B12+B15+B17+B20+B21+B22+B23+B24+B25+B27+B29</f>
        <v>12696</v>
      </c>
      <c r="C32" s="30">
        <f t="shared" si="2"/>
        <v>11974</v>
      </c>
      <c r="D32" s="30">
        <f t="shared" si="2"/>
        <v>15169</v>
      </c>
      <c r="E32" s="30">
        <f t="shared" si="2"/>
        <v>16243</v>
      </c>
      <c r="F32" s="30">
        <f t="shared" si="2"/>
        <v>18015</v>
      </c>
      <c r="G32" s="30">
        <f t="shared" si="2"/>
        <v>17971</v>
      </c>
      <c r="H32" s="30">
        <f t="shared" si="2"/>
        <v>22398</v>
      </c>
      <c r="I32" s="30">
        <f t="shared" si="2"/>
        <v>22934</v>
      </c>
      <c r="J32" s="30">
        <f t="shared" si="2"/>
        <v>16630</v>
      </c>
      <c r="K32" s="30">
        <f t="shared" si="2"/>
        <v>15570</v>
      </c>
      <c r="L32" s="30">
        <f t="shared" si="2"/>
        <v>14438</v>
      </c>
      <c r="M32" s="30">
        <f t="shared" si="2"/>
        <v>15082</v>
      </c>
      <c r="N32" s="9">
        <f>SUM(B32:M32)</f>
        <v>199120</v>
      </c>
      <c r="O32" s="15"/>
    </row>
    <row r="33" spans="1:15" x14ac:dyDescent="0.25">
      <c r="A33" s="12" t="s">
        <v>46</v>
      </c>
      <c r="B33" s="30">
        <f t="shared" ref="B33:M33" si="3">SUM(B4:B29)-B14-B16-B28-B29-B15</f>
        <v>12128</v>
      </c>
      <c r="C33" s="30">
        <f t="shared" si="3"/>
        <v>11352</v>
      </c>
      <c r="D33" s="30">
        <f t="shared" si="3"/>
        <v>14456</v>
      </c>
      <c r="E33" s="30">
        <f t="shared" si="3"/>
        <v>15482</v>
      </c>
      <c r="F33" s="30">
        <f t="shared" si="3"/>
        <v>17158</v>
      </c>
      <c r="G33" s="30">
        <f t="shared" si="3"/>
        <v>17426</v>
      </c>
      <c r="H33" s="30">
        <f t="shared" si="3"/>
        <v>22014</v>
      </c>
      <c r="I33" s="30">
        <f t="shared" si="3"/>
        <v>22345</v>
      </c>
      <c r="J33" s="30">
        <f t="shared" si="3"/>
        <v>15718</v>
      </c>
      <c r="K33" s="30">
        <f t="shared" si="3"/>
        <v>14868</v>
      </c>
      <c r="L33" s="30">
        <f t="shared" si="3"/>
        <v>13877</v>
      </c>
      <c r="M33" s="30">
        <f t="shared" si="3"/>
        <v>14597</v>
      </c>
      <c r="N33" s="9">
        <f>SUM(B33:M33)</f>
        <v>191421</v>
      </c>
      <c r="O33" s="15"/>
    </row>
    <row r="34" spans="1:15" x14ac:dyDescent="0.25">
      <c r="A34" s="12" t="s">
        <v>51</v>
      </c>
      <c r="B34" s="30">
        <f t="shared" ref="B34:M34" si="4">+B29+B15</f>
        <v>625</v>
      </c>
      <c r="C34" s="30">
        <f t="shared" si="4"/>
        <v>670</v>
      </c>
      <c r="D34" s="30">
        <f t="shared" si="4"/>
        <v>783</v>
      </c>
      <c r="E34" s="30">
        <f t="shared" si="4"/>
        <v>833</v>
      </c>
      <c r="F34" s="30">
        <f t="shared" si="4"/>
        <v>968</v>
      </c>
      <c r="G34" s="30">
        <f t="shared" si="4"/>
        <v>604</v>
      </c>
      <c r="H34" s="30">
        <f t="shared" si="4"/>
        <v>498</v>
      </c>
      <c r="I34" s="30">
        <f t="shared" si="4"/>
        <v>681</v>
      </c>
      <c r="J34" s="30">
        <f t="shared" si="4"/>
        <v>998</v>
      </c>
      <c r="K34" s="30">
        <f t="shared" si="4"/>
        <v>779</v>
      </c>
      <c r="L34" s="30">
        <f t="shared" si="4"/>
        <v>652</v>
      </c>
      <c r="M34" s="30">
        <f t="shared" si="4"/>
        <v>535</v>
      </c>
      <c r="N34" s="9">
        <f>SUM(B34:M34)</f>
        <v>8626</v>
      </c>
      <c r="O34" s="15"/>
    </row>
    <row r="35" spans="1:15" x14ac:dyDescent="0.25">
      <c r="A35" s="12" t="s">
        <v>52</v>
      </c>
      <c r="B35" s="30">
        <f t="shared" ref="B35:L35" si="5">+B6+B7+B8+B17+B29+B15</f>
        <v>4772</v>
      </c>
      <c r="C35" s="30">
        <f t="shared" si="5"/>
        <v>4473</v>
      </c>
      <c r="D35" s="30">
        <f t="shared" si="5"/>
        <v>5892</v>
      </c>
      <c r="E35" s="30">
        <f t="shared" si="5"/>
        <v>6923</v>
      </c>
      <c r="F35" s="30">
        <f t="shared" si="5"/>
        <v>7620</v>
      </c>
      <c r="G35" s="30">
        <f t="shared" si="5"/>
        <v>11541</v>
      </c>
      <c r="H35" s="30">
        <f t="shared" si="5"/>
        <v>11372</v>
      </c>
      <c r="I35" s="30">
        <f t="shared" si="5"/>
        <v>12007</v>
      </c>
      <c r="J35" s="30">
        <f t="shared" si="5"/>
        <v>7774</v>
      </c>
      <c r="K35" s="30">
        <f t="shared" si="5"/>
        <v>6730</v>
      </c>
      <c r="L35" s="30">
        <f t="shared" si="5"/>
        <v>6011</v>
      </c>
      <c r="M35" s="30">
        <f>+M6+M7+M8+M17+M29+M15</f>
        <v>5890</v>
      </c>
      <c r="N35" s="9">
        <f>SUM(B35:M35)</f>
        <v>91005</v>
      </c>
      <c r="O35" s="15"/>
    </row>
    <row r="36" spans="1:15" x14ac:dyDescent="0.25">
      <c r="A36" s="15"/>
      <c r="B36" s="18">
        <f t="shared" ref="B36:N36" si="6">SUM(B4:B29)</f>
        <v>13435</v>
      </c>
      <c r="C36" s="18">
        <f t="shared" si="6"/>
        <v>12628</v>
      </c>
      <c r="D36" s="18">
        <f t="shared" si="6"/>
        <v>15973</v>
      </c>
      <c r="E36" s="18">
        <f t="shared" si="6"/>
        <v>17030</v>
      </c>
      <c r="F36" s="18">
        <f t="shared" si="6"/>
        <v>20979.5</v>
      </c>
      <c r="G36" s="18">
        <f t="shared" si="6"/>
        <v>20044</v>
      </c>
      <c r="H36" s="18">
        <f t="shared" si="6"/>
        <v>26452</v>
      </c>
      <c r="I36" s="18">
        <f t="shared" si="6"/>
        <v>27114</v>
      </c>
      <c r="J36" s="18">
        <f t="shared" si="6"/>
        <v>19655.5</v>
      </c>
      <c r="K36" s="18">
        <f t="shared" si="6"/>
        <v>16784.5</v>
      </c>
      <c r="L36" s="18">
        <f t="shared" si="6"/>
        <v>15357</v>
      </c>
      <c r="M36" s="18">
        <f t="shared" si="6"/>
        <v>15905</v>
      </c>
      <c r="N36" s="18">
        <f t="shared" si="6"/>
        <v>221357.5</v>
      </c>
    </row>
    <row r="37" spans="1:15" x14ac:dyDescent="0.25">
      <c r="A37" s="19"/>
    </row>
    <row r="39" spans="1:15" ht="30.75" customHeight="1" x14ac:dyDescent="0.25">
      <c r="A39" s="104" t="s">
        <v>47</v>
      </c>
      <c r="B39" s="104"/>
      <c r="C39" s="104"/>
      <c r="D39" s="104"/>
      <c r="E39" s="104"/>
      <c r="F39" s="104"/>
      <c r="G39" s="104"/>
      <c r="H39" s="104"/>
      <c r="I39" s="104"/>
    </row>
    <row r="40" spans="1:15" ht="45" customHeight="1" x14ac:dyDescent="0.25">
      <c r="A40" s="105" t="s">
        <v>48</v>
      </c>
      <c r="B40" s="105"/>
      <c r="C40" s="105"/>
      <c r="D40" s="105"/>
      <c r="E40" s="105"/>
      <c r="F40" s="105"/>
      <c r="G40" s="105"/>
      <c r="H40" s="105"/>
      <c r="I40" s="105"/>
    </row>
    <row r="41" spans="1:15" ht="43.5" customHeight="1" x14ac:dyDescent="0.25">
      <c r="A41" s="105" t="s">
        <v>53</v>
      </c>
      <c r="B41" s="105"/>
      <c r="C41" s="105"/>
      <c r="D41" s="105"/>
      <c r="E41" s="105"/>
      <c r="F41" s="105"/>
      <c r="G41" s="105"/>
      <c r="H41" s="105"/>
      <c r="I41" s="105"/>
    </row>
    <row r="42" spans="1:15" x14ac:dyDescent="0.25">
      <c r="A42" s="106" t="s">
        <v>49</v>
      </c>
      <c r="B42" s="106"/>
      <c r="C42" s="106"/>
      <c r="D42" s="106"/>
      <c r="E42" s="106"/>
      <c r="F42" s="106"/>
      <c r="G42" s="106"/>
      <c r="H42" s="106"/>
      <c r="I42" s="106"/>
    </row>
  </sheetData>
  <mergeCells count="4">
    <mergeCell ref="A39:I39"/>
    <mergeCell ref="A40:I40"/>
    <mergeCell ref="A41:I41"/>
    <mergeCell ref="A42:I42"/>
  </mergeCells>
  <phoneticPr fontId="0" type="noConversion"/>
  <pageMargins left="0.75" right="0.75" top="1" bottom="1" header="0.5" footer="0.5"/>
  <pageSetup scale="88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O42"/>
  <sheetViews>
    <sheetView workbookViewId="0">
      <pane xSplit="1" ySplit="3" topLeftCell="J16" activePane="bottomRight" state="frozen"/>
      <selection activeCell="A19" sqref="A19"/>
      <selection pane="topRight" activeCell="A19" sqref="A19"/>
      <selection pane="bottomLeft" activeCell="A19" sqref="A19"/>
      <selection pane="bottomRight" activeCell="M36" sqref="M36"/>
    </sheetView>
  </sheetViews>
  <sheetFormatPr defaultColWidth="9.75" defaultRowHeight="16.2" x14ac:dyDescent="0.25"/>
  <cols>
    <col min="1" max="1" width="23.9140625" style="11" bestFit="1" customWidth="1"/>
    <col min="2" max="13" width="6.75" style="11" customWidth="1"/>
    <col min="14" max="16384" width="9.75" style="11"/>
  </cols>
  <sheetData>
    <row r="1" spans="1:15" ht="18.600000000000001" x14ac:dyDescent="0.25">
      <c r="A1" s="10" t="s">
        <v>44</v>
      </c>
    </row>
    <row r="3" spans="1:15" ht="16.8" x14ac:dyDescent="0.25">
      <c r="A3" s="12" t="s">
        <v>1</v>
      </c>
      <c r="B3" s="13" t="s">
        <v>29</v>
      </c>
      <c r="C3" s="13" t="s">
        <v>30</v>
      </c>
      <c r="D3" s="13" t="s">
        <v>31</v>
      </c>
      <c r="E3" s="13" t="s">
        <v>32</v>
      </c>
      <c r="F3" s="13" t="s">
        <v>33</v>
      </c>
      <c r="G3" s="13" t="s">
        <v>34</v>
      </c>
      <c r="H3" s="13" t="s">
        <v>35</v>
      </c>
      <c r="I3" s="13" t="s">
        <v>36</v>
      </c>
      <c r="J3" s="13" t="s">
        <v>37</v>
      </c>
      <c r="K3" s="13" t="s">
        <v>38</v>
      </c>
      <c r="L3" s="13" t="s">
        <v>39</v>
      </c>
      <c r="M3" s="13" t="s">
        <v>40</v>
      </c>
      <c r="N3" s="14" t="s">
        <v>41</v>
      </c>
      <c r="O3" s="15"/>
    </row>
    <row r="4" spans="1:15" x14ac:dyDescent="0.25">
      <c r="A4" s="12" t="s">
        <v>2</v>
      </c>
      <c r="B4" s="9">
        <v>494</v>
      </c>
      <c r="C4" s="9">
        <v>637</v>
      </c>
      <c r="D4" s="9">
        <v>832</v>
      </c>
      <c r="E4" s="9">
        <v>715</v>
      </c>
      <c r="F4" s="9">
        <v>221</v>
      </c>
      <c r="G4" s="9">
        <v>832</v>
      </c>
      <c r="H4" s="9">
        <v>1131</v>
      </c>
      <c r="I4" s="9">
        <v>1040</v>
      </c>
      <c r="J4" s="9">
        <v>650</v>
      </c>
      <c r="K4" s="9">
        <v>728</v>
      </c>
      <c r="L4" s="9">
        <v>598</v>
      </c>
      <c r="M4" s="9">
        <v>468</v>
      </c>
      <c r="N4" s="9">
        <f t="shared" ref="N4:N29" si="0">SUM(B4:M4)</f>
        <v>8346</v>
      </c>
      <c r="O4" s="15"/>
    </row>
    <row r="5" spans="1:15" x14ac:dyDescent="0.25">
      <c r="A5" s="12" t="s">
        <v>3</v>
      </c>
      <c r="B5" s="9">
        <v>5150</v>
      </c>
      <c r="C5" s="9">
        <v>5800</v>
      </c>
      <c r="D5" s="9">
        <v>6700</v>
      </c>
      <c r="E5" s="9">
        <v>6675</v>
      </c>
      <c r="F5" s="9">
        <v>7000</v>
      </c>
      <c r="G5" s="9">
        <v>7025</v>
      </c>
      <c r="H5" s="9">
        <v>6225</v>
      </c>
      <c r="I5" s="9">
        <v>6900</v>
      </c>
      <c r="J5" s="9">
        <v>5475</v>
      </c>
      <c r="K5" s="9">
        <v>6375</v>
      </c>
      <c r="L5" s="9">
        <v>5750</v>
      </c>
      <c r="M5" s="9">
        <v>5975</v>
      </c>
      <c r="N5" s="9">
        <f t="shared" si="0"/>
        <v>75050</v>
      </c>
      <c r="O5" s="15"/>
    </row>
    <row r="6" spans="1:15" x14ac:dyDescent="0.25">
      <c r="A6" s="12" t="s">
        <v>4</v>
      </c>
      <c r="B6" s="9">
        <v>2250</v>
      </c>
      <c r="C6" s="9">
        <v>2450</v>
      </c>
      <c r="D6" s="9">
        <v>3100</v>
      </c>
      <c r="E6" s="9">
        <v>2850</v>
      </c>
      <c r="F6" s="9">
        <v>3925</v>
      </c>
      <c r="G6" s="9">
        <v>4050</v>
      </c>
      <c r="H6" s="9">
        <v>4525</v>
      </c>
      <c r="I6" s="9">
        <v>4575</v>
      </c>
      <c r="J6" s="9">
        <v>3550</v>
      </c>
      <c r="K6" s="9">
        <v>2675</v>
      </c>
      <c r="L6" s="9">
        <v>3150</v>
      </c>
      <c r="M6" s="9">
        <v>2500</v>
      </c>
      <c r="N6" s="9">
        <f t="shared" si="0"/>
        <v>39600</v>
      </c>
      <c r="O6" s="15"/>
    </row>
    <row r="7" spans="1:15" x14ac:dyDescent="0.25">
      <c r="A7" s="12" t="s">
        <v>5</v>
      </c>
      <c r="B7" s="9">
        <v>1129</v>
      </c>
      <c r="C7" s="9">
        <v>1157</v>
      </c>
      <c r="D7" s="9">
        <v>1239</v>
      </c>
      <c r="E7" s="9">
        <v>1683</v>
      </c>
      <c r="F7" s="9">
        <v>1915</v>
      </c>
      <c r="G7" s="9">
        <v>2267</v>
      </c>
      <c r="H7" s="9">
        <v>3783</v>
      </c>
      <c r="I7" s="9">
        <v>3505</v>
      </c>
      <c r="J7" s="9">
        <v>2520</v>
      </c>
      <c r="K7" s="9">
        <v>1638</v>
      </c>
      <c r="L7" s="9">
        <v>1467</v>
      </c>
      <c r="M7" s="9">
        <v>1440</v>
      </c>
      <c r="N7" s="9">
        <f t="shared" si="0"/>
        <v>23743</v>
      </c>
      <c r="O7" s="15"/>
    </row>
    <row r="8" spans="1:15" x14ac:dyDescent="0.25">
      <c r="A8" s="12" t="s">
        <v>6</v>
      </c>
      <c r="B8" s="9">
        <v>331</v>
      </c>
      <c r="C8" s="9">
        <v>344</v>
      </c>
      <c r="D8" s="9">
        <v>416</v>
      </c>
      <c r="E8" s="9">
        <v>751</v>
      </c>
      <c r="F8" s="9">
        <v>631</v>
      </c>
      <c r="G8" s="9">
        <v>1018</v>
      </c>
      <c r="H8" s="9">
        <v>1688</v>
      </c>
      <c r="I8" s="9">
        <v>1459</v>
      </c>
      <c r="J8" s="9">
        <v>670</v>
      </c>
      <c r="K8" s="9">
        <v>371</v>
      </c>
      <c r="L8" s="9">
        <v>458</v>
      </c>
      <c r="M8" s="9">
        <v>478</v>
      </c>
      <c r="N8" s="9">
        <f t="shared" si="0"/>
        <v>8615</v>
      </c>
      <c r="O8" s="15"/>
    </row>
    <row r="9" spans="1:15" x14ac:dyDescent="0.25">
      <c r="A9" s="12" t="s">
        <v>7</v>
      </c>
      <c r="B9" s="9">
        <v>992</v>
      </c>
      <c r="C9" s="9">
        <v>1053</v>
      </c>
      <c r="D9" s="9">
        <v>1136</v>
      </c>
      <c r="E9" s="9">
        <v>1360</v>
      </c>
      <c r="F9" s="9">
        <v>1499</v>
      </c>
      <c r="G9" s="9">
        <v>1785</v>
      </c>
      <c r="H9" s="9">
        <v>2536</v>
      </c>
      <c r="I9" s="9">
        <v>2487</v>
      </c>
      <c r="J9" s="9">
        <v>1926</v>
      </c>
      <c r="K9" s="9">
        <v>1490</v>
      </c>
      <c r="L9" s="9">
        <v>1258</v>
      </c>
      <c r="M9" s="9">
        <v>1256</v>
      </c>
      <c r="N9" s="9">
        <f t="shared" si="0"/>
        <v>18778</v>
      </c>
      <c r="O9" s="15"/>
    </row>
    <row r="10" spans="1:15" x14ac:dyDescent="0.25">
      <c r="A10" s="12" t="s">
        <v>8</v>
      </c>
      <c r="B10" s="9">
        <v>0</v>
      </c>
      <c r="C10" s="9">
        <v>0</v>
      </c>
      <c r="D10" s="9">
        <v>0</v>
      </c>
      <c r="E10" s="9">
        <v>5</v>
      </c>
      <c r="F10" s="9">
        <v>1</v>
      </c>
      <c r="G10" s="9">
        <v>2</v>
      </c>
      <c r="H10" s="9">
        <v>1</v>
      </c>
      <c r="I10" s="9">
        <v>0</v>
      </c>
      <c r="J10" s="9">
        <v>6</v>
      </c>
      <c r="K10" s="9">
        <v>6</v>
      </c>
      <c r="L10" s="9">
        <v>1</v>
      </c>
      <c r="M10" s="9">
        <v>0</v>
      </c>
      <c r="N10" s="9">
        <f t="shared" si="0"/>
        <v>22</v>
      </c>
      <c r="O10" s="15"/>
    </row>
    <row r="11" spans="1:15" x14ac:dyDescent="0.25">
      <c r="A11" s="12" t="s">
        <v>9</v>
      </c>
      <c r="B11" s="9">
        <v>10</v>
      </c>
      <c r="C11" s="9">
        <v>17</v>
      </c>
      <c r="D11" s="9">
        <v>20</v>
      </c>
      <c r="E11" s="9">
        <v>11</v>
      </c>
      <c r="F11" s="9">
        <v>14</v>
      </c>
      <c r="G11" s="9">
        <v>24</v>
      </c>
      <c r="H11" s="9">
        <v>19</v>
      </c>
      <c r="I11" s="9">
        <v>16</v>
      </c>
      <c r="J11" s="9">
        <v>12</v>
      </c>
      <c r="K11" s="9">
        <v>25</v>
      </c>
      <c r="L11" s="9">
        <v>16</v>
      </c>
      <c r="M11" s="9">
        <v>18</v>
      </c>
      <c r="N11" s="9">
        <f t="shared" si="0"/>
        <v>202</v>
      </c>
      <c r="O11" s="15"/>
    </row>
    <row r="12" spans="1:15" x14ac:dyDescent="0.25">
      <c r="A12" s="12" t="s">
        <v>10</v>
      </c>
      <c r="B12" s="9">
        <v>2</v>
      </c>
      <c r="C12" s="9">
        <v>3</v>
      </c>
      <c r="D12" s="9">
        <v>4</v>
      </c>
      <c r="E12" s="9">
        <v>14</v>
      </c>
      <c r="F12" s="9">
        <v>13</v>
      </c>
      <c r="G12" s="9">
        <v>21</v>
      </c>
      <c r="H12" s="9">
        <v>25</v>
      </c>
      <c r="I12" s="9">
        <v>17</v>
      </c>
      <c r="J12" s="9">
        <v>27</v>
      </c>
      <c r="K12" s="9">
        <v>8</v>
      </c>
      <c r="L12" s="9">
        <v>1</v>
      </c>
      <c r="M12" s="9">
        <v>3</v>
      </c>
      <c r="N12" s="9">
        <f t="shared" si="0"/>
        <v>138</v>
      </c>
      <c r="O12" s="15"/>
    </row>
    <row r="13" spans="1:15" x14ac:dyDescent="0.25">
      <c r="A13" s="12" t="s">
        <v>11</v>
      </c>
      <c r="B13" s="9">
        <v>20</v>
      </c>
      <c r="C13" s="9">
        <v>20</v>
      </c>
      <c r="D13" s="9">
        <v>23</v>
      </c>
      <c r="E13" s="9">
        <v>15</v>
      </c>
      <c r="F13" s="9">
        <v>22</v>
      </c>
      <c r="G13" s="9">
        <v>11</v>
      </c>
      <c r="H13" s="9">
        <v>0</v>
      </c>
      <c r="I13" s="9">
        <v>0</v>
      </c>
      <c r="J13" s="9">
        <v>18</v>
      </c>
      <c r="K13" s="9">
        <v>21</v>
      </c>
      <c r="L13" s="16">
        <v>19</v>
      </c>
      <c r="M13" s="16">
        <v>69</v>
      </c>
      <c r="N13" s="9">
        <f t="shared" si="0"/>
        <v>238</v>
      </c>
      <c r="O13" s="15"/>
    </row>
    <row r="14" spans="1:15" x14ac:dyDescent="0.25">
      <c r="A14" s="12" t="s">
        <v>12</v>
      </c>
      <c r="B14" s="9">
        <v>25</v>
      </c>
      <c r="C14" s="9">
        <v>67</v>
      </c>
      <c r="D14" s="9">
        <v>71</v>
      </c>
      <c r="E14" s="9">
        <v>198</v>
      </c>
      <c r="F14" s="9">
        <v>137</v>
      </c>
      <c r="G14" s="9">
        <v>121</v>
      </c>
      <c r="H14" s="9">
        <v>73</v>
      </c>
      <c r="I14" s="9">
        <v>138</v>
      </c>
      <c r="J14" s="9">
        <v>221</v>
      </c>
      <c r="K14" s="9">
        <v>552</v>
      </c>
      <c r="L14" s="9">
        <v>68</v>
      </c>
      <c r="M14" s="9">
        <v>11</v>
      </c>
      <c r="N14" s="9">
        <f t="shared" si="0"/>
        <v>1682</v>
      </c>
      <c r="O14" s="15"/>
    </row>
    <row r="15" spans="1:15" x14ac:dyDescent="0.25">
      <c r="A15" s="12" t="s">
        <v>13</v>
      </c>
      <c r="B15" s="9">
        <v>450</v>
      </c>
      <c r="C15" s="9">
        <v>533</v>
      </c>
      <c r="D15" s="9">
        <v>484</v>
      </c>
      <c r="E15" s="9">
        <v>351</v>
      </c>
      <c r="F15" s="9">
        <v>515</v>
      </c>
      <c r="G15" s="9">
        <v>288</v>
      </c>
      <c r="H15" s="9">
        <v>0</v>
      </c>
      <c r="I15" s="9">
        <v>0</v>
      </c>
      <c r="J15" s="9">
        <v>559</v>
      </c>
      <c r="K15" s="9">
        <v>773</v>
      </c>
      <c r="L15" s="9">
        <v>580</v>
      </c>
      <c r="M15" s="9">
        <v>254</v>
      </c>
      <c r="N15" s="9">
        <f t="shared" si="0"/>
        <v>4787</v>
      </c>
      <c r="O15" s="15"/>
    </row>
    <row r="16" spans="1:15" x14ac:dyDescent="0.25">
      <c r="A16" s="12" t="s">
        <v>14</v>
      </c>
      <c r="B16" s="9">
        <v>0</v>
      </c>
      <c r="C16" s="9">
        <v>0</v>
      </c>
      <c r="D16" s="9">
        <v>0</v>
      </c>
      <c r="E16" s="9">
        <v>0</v>
      </c>
      <c r="F16" s="9">
        <v>1800</v>
      </c>
      <c r="G16" s="9">
        <v>2152</v>
      </c>
      <c r="H16" s="9">
        <v>2984</v>
      </c>
      <c r="I16" s="9">
        <v>2971</v>
      </c>
      <c r="J16" s="9">
        <v>2344</v>
      </c>
      <c r="K16" s="9">
        <v>0</v>
      </c>
      <c r="L16" s="9">
        <v>0</v>
      </c>
      <c r="M16" s="9">
        <v>1</v>
      </c>
      <c r="N16" s="9">
        <f t="shared" si="0"/>
        <v>12252</v>
      </c>
      <c r="O16" s="15"/>
    </row>
    <row r="17" spans="1:15" x14ac:dyDescent="0.25">
      <c r="A17" s="12" t="s">
        <v>15</v>
      </c>
      <c r="B17" s="9">
        <v>250</v>
      </c>
      <c r="C17" s="9">
        <v>375</v>
      </c>
      <c r="D17" s="9">
        <v>625</v>
      </c>
      <c r="E17" s="9">
        <v>400</v>
      </c>
      <c r="F17" s="9">
        <v>500</v>
      </c>
      <c r="G17" s="9">
        <v>675</v>
      </c>
      <c r="H17" s="9">
        <v>1200</v>
      </c>
      <c r="I17" s="9">
        <v>775</v>
      </c>
      <c r="J17" s="9">
        <v>475</v>
      </c>
      <c r="K17" s="9">
        <v>250</v>
      </c>
      <c r="L17" s="9">
        <v>400</v>
      </c>
      <c r="M17" s="9">
        <v>375</v>
      </c>
      <c r="N17" s="9">
        <f t="shared" si="0"/>
        <v>6300</v>
      </c>
      <c r="O17" s="15"/>
    </row>
    <row r="18" spans="1:15" x14ac:dyDescent="0.25">
      <c r="A18" s="12" t="s">
        <v>16</v>
      </c>
      <c r="B18" s="9">
        <v>11</v>
      </c>
      <c r="C18" s="9">
        <v>7</v>
      </c>
      <c r="D18" s="9">
        <v>17</v>
      </c>
      <c r="E18" s="9">
        <v>21</v>
      </c>
      <c r="F18" s="9">
        <v>19</v>
      </c>
      <c r="G18" s="9">
        <v>25</v>
      </c>
      <c r="H18" s="9">
        <v>20</v>
      </c>
      <c r="I18" s="9">
        <v>29</v>
      </c>
      <c r="J18" s="9">
        <v>18</v>
      </c>
      <c r="K18" s="9">
        <v>25</v>
      </c>
      <c r="L18" s="9">
        <v>16</v>
      </c>
      <c r="M18" s="9">
        <v>12</v>
      </c>
      <c r="N18" s="9">
        <f t="shared" si="0"/>
        <v>220</v>
      </c>
      <c r="O18" s="15"/>
    </row>
    <row r="19" spans="1:15" x14ac:dyDescent="0.25">
      <c r="A19" s="12" t="s">
        <v>17</v>
      </c>
      <c r="B19" s="9">
        <v>11</v>
      </c>
      <c r="C19" s="9">
        <v>11</v>
      </c>
      <c r="D19" s="9">
        <v>25</v>
      </c>
      <c r="E19" s="9">
        <v>29</v>
      </c>
      <c r="F19" s="9">
        <v>43</v>
      </c>
      <c r="G19" s="9">
        <v>48</v>
      </c>
      <c r="H19" s="9">
        <v>44</v>
      </c>
      <c r="I19" s="9">
        <v>50</v>
      </c>
      <c r="J19" s="9">
        <v>40</v>
      </c>
      <c r="K19" s="9">
        <v>31</v>
      </c>
      <c r="L19" s="9">
        <v>21</v>
      </c>
      <c r="M19" s="9">
        <v>12</v>
      </c>
      <c r="N19" s="9">
        <f t="shared" si="0"/>
        <v>365</v>
      </c>
      <c r="O19" s="15"/>
    </row>
    <row r="20" spans="1:15" x14ac:dyDescent="0.25">
      <c r="A20" s="12" t="s">
        <v>18</v>
      </c>
      <c r="B20" s="9">
        <v>130</v>
      </c>
      <c r="C20" s="9">
        <v>107</v>
      </c>
      <c r="D20" s="9">
        <v>106</v>
      </c>
      <c r="E20" s="9">
        <v>97</v>
      </c>
      <c r="F20" s="9">
        <v>154</v>
      </c>
      <c r="G20" s="9">
        <v>143</v>
      </c>
      <c r="H20" s="9">
        <v>184</v>
      </c>
      <c r="I20" s="9">
        <v>191</v>
      </c>
      <c r="J20" s="9">
        <v>174</v>
      </c>
      <c r="K20" s="9">
        <v>167</v>
      </c>
      <c r="L20" s="9">
        <v>109</v>
      </c>
      <c r="M20" s="9">
        <v>132</v>
      </c>
      <c r="N20" s="9">
        <f t="shared" si="0"/>
        <v>1694</v>
      </c>
      <c r="O20" s="15"/>
    </row>
    <row r="21" spans="1:15" x14ac:dyDescent="0.25">
      <c r="A21" s="12" t="s">
        <v>19</v>
      </c>
      <c r="B21" s="9">
        <v>110</v>
      </c>
      <c r="C21" s="9">
        <v>73</v>
      </c>
      <c r="D21" s="9">
        <v>78</v>
      </c>
      <c r="E21" s="9">
        <v>72</v>
      </c>
      <c r="F21" s="9">
        <v>62</v>
      </c>
      <c r="G21" s="9">
        <v>90</v>
      </c>
      <c r="H21" s="9">
        <v>118</v>
      </c>
      <c r="I21" s="9">
        <v>88</v>
      </c>
      <c r="J21" s="9">
        <v>92</v>
      </c>
      <c r="K21" s="9">
        <v>84</v>
      </c>
      <c r="L21" s="9">
        <v>62</v>
      </c>
      <c r="M21" s="9">
        <v>42</v>
      </c>
      <c r="N21" s="9">
        <f t="shared" si="0"/>
        <v>971</v>
      </c>
      <c r="O21" s="15"/>
    </row>
    <row r="22" spans="1:15" x14ac:dyDescent="0.25">
      <c r="A22" s="12" t="s">
        <v>20</v>
      </c>
      <c r="B22" s="9">
        <v>21</v>
      </c>
      <c r="C22" s="9">
        <v>24</v>
      </c>
      <c r="D22" s="9">
        <v>16</v>
      </c>
      <c r="E22" s="9">
        <v>27</v>
      </c>
      <c r="F22" s="9">
        <v>36</v>
      </c>
      <c r="G22" s="9">
        <v>55</v>
      </c>
      <c r="H22" s="9">
        <v>46</v>
      </c>
      <c r="I22" s="9">
        <v>73</v>
      </c>
      <c r="J22" s="9">
        <v>40</v>
      </c>
      <c r="K22" s="9">
        <v>41</v>
      </c>
      <c r="L22" s="9">
        <v>28</v>
      </c>
      <c r="M22" s="9">
        <v>19</v>
      </c>
      <c r="N22" s="9">
        <f t="shared" si="0"/>
        <v>426</v>
      </c>
      <c r="O22" s="15"/>
    </row>
    <row r="23" spans="1:15" x14ac:dyDescent="0.25">
      <c r="A23" s="12" t="s">
        <v>21</v>
      </c>
      <c r="B23" s="9">
        <v>35</v>
      </c>
      <c r="C23" s="9">
        <v>43</v>
      </c>
      <c r="D23" s="9">
        <v>32</v>
      </c>
      <c r="E23" s="9">
        <v>38</v>
      </c>
      <c r="F23" s="9">
        <v>26</v>
      </c>
      <c r="G23" s="9">
        <v>52</v>
      </c>
      <c r="H23" s="9">
        <v>66</v>
      </c>
      <c r="I23" s="9">
        <v>89</v>
      </c>
      <c r="J23" s="9">
        <v>60</v>
      </c>
      <c r="K23" s="9">
        <v>58</v>
      </c>
      <c r="L23" s="9">
        <v>20</v>
      </c>
      <c r="M23" s="9">
        <v>11</v>
      </c>
      <c r="N23" s="9">
        <f t="shared" si="0"/>
        <v>530</v>
      </c>
      <c r="O23" s="15"/>
    </row>
    <row r="24" spans="1:15" x14ac:dyDescent="0.25">
      <c r="A24" s="12" t="s">
        <v>22</v>
      </c>
      <c r="B24" s="9">
        <v>15</v>
      </c>
      <c r="C24" s="9">
        <v>7</v>
      </c>
      <c r="D24" s="9">
        <v>11</v>
      </c>
      <c r="E24" s="9">
        <v>12</v>
      </c>
      <c r="F24" s="9">
        <v>7</v>
      </c>
      <c r="G24" s="9">
        <v>12</v>
      </c>
      <c r="H24" s="9">
        <v>21</v>
      </c>
      <c r="I24" s="9">
        <v>22</v>
      </c>
      <c r="J24" s="9">
        <v>26</v>
      </c>
      <c r="K24" s="9">
        <v>14</v>
      </c>
      <c r="L24" s="9">
        <v>7</v>
      </c>
      <c r="M24" s="9">
        <v>13</v>
      </c>
      <c r="N24" s="9">
        <f t="shared" si="0"/>
        <v>167</v>
      </c>
      <c r="O24" s="15"/>
    </row>
    <row r="25" spans="1:15" x14ac:dyDescent="0.25">
      <c r="A25" s="12" t="s">
        <v>23</v>
      </c>
      <c r="B25" s="9">
        <v>6</v>
      </c>
      <c r="C25" s="9">
        <v>7</v>
      </c>
      <c r="D25" s="9">
        <v>7</v>
      </c>
      <c r="E25" s="9">
        <v>5</v>
      </c>
      <c r="F25" s="9">
        <v>9</v>
      </c>
      <c r="G25" s="9">
        <v>2</v>
      </c>
      <c r="H25" s="9">
        <v>10</v>
      </c>
      <c r="I25" s="9">
        <v>11</v>
      </c>
      <c r="J25" s="9">
        <v>9</v>
      </c>
      <c r="K25" s="9">
        <v>5</v>
      </c>
      <c r="L25" s="9">
        <v>6</v>
      </c>
      <c r="M25" s="9">
        <v>2</v>
      </c>
      <c r="N25" s="9">
        <f t="shared" si="0"/>
        <v>79</v>
      </c>
      <c r="O25" s="15"/>
    </row>
    <row r="26" spans="1:15" x14ac:dyDescent="0.25">
      <c r="A26" s="12" t="s">
        <v>24</v>
      </c>
      <c r="B26" s="9">
        <v>1</v>
      </c>
      <c r="C26" s="9">
        <v>5</v>
      </c>
      <c r="D26" s="9">
        <v>11</v>
      </c>
      <c r="E26" s="9">
        <v>12</v>
      </c>
      <c r="F26" s="9">
        <v>14</v>
      </c>
      <c r="G26" s="9">
        <v>11</v>
      </c>
      <c r="H26" s="9">
        <v>14</v>
      </c>
      <c r="I26" s="9">
        <v>11</v>
      </c>
      <c r="J26" s="9">
        <v>15</v>
      </c>
      <c r="K26" s="9">
        <v>8</v>
      </c>
      <c r="L26" s="9">
        <v>9</v>
      </c>
      <c r="M26" s="9">
        <v>1</v>
      </c>
      <c r="N26" s="9">
        <f t="shared" si="0"/>
        <v>112</v>
      </c>
      <c r="O26" s="15"/>
    </row>
    <row r="27" spans="1:15" x14ac:dyDescent="0.25">
      <c r="A27" s="12" t="s">
        <v>25</v>
      </c>
      <c r="B27" s="9">
        <v>4</v>
      </c>
      <c r="C27" s="9">
        <v>7</v>
      </c>
      <c r="D27" s="9">
        <v>5</v>
      </c>
      <c r="E27" s="9">
        <v>10</v>
      </c>
      <c r="F27" s="9">
        <v>6</v>
      </c>
      <c r="G27" s="9">
        <v>11</v>
      </c>
      <c r="H27" s="9">
        <v>2</v>
      </c>
      <c r="I27" s="9">
        <v>11</v>
      </c>
      <c r="J27" s="9">
        <v>10</v>
      </c>
      <c r="K27" s="9">
        <v>74</v>
      </c>
      <c r="L27" s="9">
        <v>4</v>
      </c>
      <c r="M27" s="9">
        <v>1</v>
      </c>
      <c r="N27" s="9">
        <f t="shared" si="0"/>
        <v>145</v>
      </c>
      <c r="O27" s="15"/>
    </row>
    <row r="28" spans="1:15" x14ac:dyDescent="0.25">
      <c r="A28" s="12" t="s">
        <v>26</v>
      </c>
      <c r="B28" s="9">
        <v>653</v>
      </c>
      <c r="C28" s="9">
        <v>611</v>
      </c>
      <c r="D28" s="9">
        <v>682</v>
      </c>
      <c r="E28" s="9">
        <v>689</v>
      </c>
      <c r="F28" s="9">
        <v>715</v>
      </c>
      <c r="G28" s="9">
        <v>719</v>
      </c>
      <c r="H28" s="9">
        <v>765</v>
      </c>
      <c r="I28" s="9">
        <v>768</v>
      </c>
      <c r="J28" s="9">
        <v>718</v>
      </c>
      <c r="K28" s="9">
        <v>714</v>
      </c>
      <c r="L28" s="16">
        <v>666</v>
      </c>
      <c r="M28" s="16">
        <v>677</v>
      </c>
      <c r="N28" s="9">
        <f t="shared" si="0"/>
        <v>8377</v>
      </c>
      <c r="O28" s="15"/>
    </row>
    <row r="29" spans="1:15" x14ac:dyDescent="0.25">
      <c r="A29" s="12" t="s">
        <v>27</v>
      </c>
      <c r="B29" s="9">
        <v>226</v>
      </c>
      <c r="C29" s="9">
        <v>228</v>
      </c>
      <c r="D29" s="9">
        <v>212</v>
      </c>
      <c r="E29" s="9">
        <v>281</v>
      </c>
      <c r="F29" s="9">
        <v>270</v>
      </c>
      <c r="G29" s="9">
        <v>468</v>
      </c>
      <c r="H29" s="9">
        <v>467</v>
      </c>
      <c r="I29" s="9">
        <v>465</v>
      </c>
      <c r="J29" s="9">
        <v>346</v>
      </c>
      <c r="K29" s="9">
        <v>263</v>
      </c>
      <c r="L29" s="9">
        <v>262</v>
      </c>
      <c r="M29" s="9">
        <v>329</v>
      </c>
      <c r="N29" s="9">
        <f t="shared" si="0"/>
        <v>3817</v>
      </c>
      <c r="O29" s="15"/>
    </row>
    <row r="30" spans="1:15" x14ac:dyDescent="0.25">
      <c r="A30" s="17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5"/>
    </row>
    <row r="31" spans="1:15" x14ac:dyDescent="0.25">
      <c r="A31" s="12" t="s">
        <v>50</v>
      </c>
      <c r="B31" s="30">
        <f>B4+B5+B9+B10+B11+B20+B21+B22+B23+B24+B25+B27+B12</f>
        <v>6969</v>
      </c>
      <c r="C31" s="30">
        <f t="shared" ref="C31:M31" si="1">C4+C5+C9+C10+C11+C20+C21+C22+C23+C24+C25+C27+C12</f>
        <v>7778</v>
      </c>
      <c r="D31" s="30">
        <f t="shared" si="1"/>
        <v>8947</v>
      </c>
      <c r="E31" s="30">
        <f t="shared" si="1"/>
        <v>9041</v>
      </c>
      <c r="F31" s="30">
        <f t="shared" si="1"/>
        <v>9048</v>
      </c>
      <c r="G31" s="30">
        <f t="shared" si="1"/>
        <v>10054</v>
      </c>
      <c r="H31" s="30">
        <f t="shared" si="1"/>
        <v>10384</v>
      </c>
      <c r="I31" s="30">
        <f t="shared" si="1"/>
        <v>10945</v>
      </c>
      <c r="J31" s="30">
        <f t="shared" si="1"/>
        <v>8507</v>
      </c>
      <c r="K31" s="30">
        <f t="shared" si="1"/>
        <v>9075</v>
      </c>
      <c r="L31" s="30">
        <f t="shared" si="1"/>
        <v>7860</v>
      </c>
      <c r="M31" s="30">
        <f t="shared" si="1"/>
        <v>7940</v>
      </c>
      <c r="N31" s="9">
        <f>SUM(B31:M31)</f>
        <v>106548</v>
      </c>
      <c r="O31" s="15"/>
    </row>
    <row r="32" spans="1:15" x14ac:dyDescent="0.25">
      <c r="A32" s="12" t="s">
        <v>28</v>
      </c>
      <c r="B32" s="30">
        <f>B4+B5+B6+B7+B8+B9+B10+B11+B12+B15+B17+B20+B21+B22+B23+B24+B25+B27+B29</f>
        <v>11605</v>
      </c>
      <c r="C32" s="30">
        <f t="shared" ref="C32:M32" si="2">C4+C5+C6+C7+C8+C9+C10+C11+C12+C15+C17+C20+C21+C22+C23+C24+C25+C27+C29</f>
        <v>12865</v>
      </c>
      <c r="D32" s="30">
        <f t="shared" si="2"/>
        <v>15023</v>
      </c>
      <c r="E32" s="30">
        <f t="shared" si="2"/>
        <v>15357</v>
      </c>
      <c r="F32" s="30">
        <f t="shared" si="2"/>
        <v>16804</v>
      </c>
      <c r="G32" s="30">
        <f t="shared" si="2"/>
        <v>18820</v>
      </c>
      <c r="H32" s="30">
        <f t="shared" si="2"/>
        <v>22047</v>
      </c>
      <c r="I32" s="30">
        <f t="shared" si="2"/>
        <v>21724</v>
      </c>
      <c r="J32" s="30">
        <f t="shared" si="2"/>
        <v>16627</v>
      </c>
      <c r="K32" s="30">
        <f t="shared" si="2"/>
        <v>15045</v>
      </c>
      <c r="L32" s="30">
        <f t="shared" si="2"/>
        <v>14177</v>
      </c>
      <c r="M32" s="30">
        <f t="shared" si="2"/>
        <v>13316</v>
      </c>
      <c r="N32" s="9">
        <f>SUM(B32:M32)</f>
        <v>193410</v>
      </c>
      <c r="O32" s="15"/>
    </row>
    <row r="33" spans="1:15" x14ac:dyDescent="0.25">
      <c r="A33" s="12" t="s">
        <v>46</v>
      </c>
      <c r="B33" s="30">
        <f>SUM(B4:B29)-B14-B16-B28-B29-B15</f>
        <v>10972</v>
      </c>
      <c r="C33" s="30">
        <f t="shared" ref="C33:M33" si="3">SUM(C4:C29)-C14-C16-C28-C29-C15</f>
        <v>12147</v>
      </c>
      <c r="D33" s="30">
        <f t="shared" si="3"/>
        <v>14403</v>
      </c>
      <c r="E33" s="30">
        <f t="shared" si="3"/>
        <v>14802</v>
      </c>
      <c r="F33" s="30">
        <f t="shared" si="3"/>
        <v>16117</v>
      </c>
      <c r="G33" s="30">
        <f t="shared" si="3"/>
        <v>18159</v>
      </c>
      <c r="H33" s="30">
        <f t="shared" si="3"/>
        <v>21658</v>
      </c>
      <c r="I33" s="30">
        <f t="shared" si="3"/>
        <v>21349</v>
      </c>
      <c r="J33" s="30">
        <f t="shared" si="3"/>
        <v>15813</v>
      </c>
      <c r="K33" s="30">
        <f t="shared" si="3"/>
        <v>14094</v>
      </c>
      <c r="L33" s="30">
        <f t="shared" si="3"/>
        <v>13400</v>
      </c>
      <c r="M33" s="30">
        <f t="shared" si="3"/>
        <v>12827</v>
      </c>
      <c r="N33" s="9">
        <f>SUM(B33:M33)</f>
        <v>185741</v>
      </c>
      <c r="O33" s="15"/>
    </row>
    <row r="34" spans="1:15" x14ac:dyDescent="0.25">
      <c r="A34" s="12" t="s">
        <v>51</v>
      </c>
      <c r="B34" s="30">
        <f>+B29+B15</f>
        <v>676</v>
      </c>
      <c r="C34" s="30">
        <f t="shared" ref="C34:M34" si="4">+C29+C15</f>
        <v>761</v>
      </c>
      <c r="D34" s="30">
        <f t="shared" si="4"/>
        <v>696</v>
      </c>
      <c r="E34" s="30">
        <f t="shared" si="4"/>
        <v>632</v>
      </c>
      <c r="F34" s="30">
        <f t="shared" si="4"/>
        <v>785</v>
      </c>
      <c r="G34" s="30">
        <f t="shared" si="4"/>
        <v>756</v>
      </c>
      <c r="H34" s="30">
        <f t="shared" si="4"/>
        <v>467</v>
      </c>
      <c r="I34" s="30">
        <f t="shared" si="4"/>
        <v>465</v>
      </c>
      <c r="J34" s="30">
        <f t="shared" si="4"/>
        <v>905</v>
      </c>
      <c r="K34" s="30">
        <f t="shared" si="4"/>
        <v>1036</v>
      </c>
      <c r="L34" s="30">
        <f t="shared" si="4"/>
        <v>842</v>
      </c>
      <c r="M34" s="30">
        <f t="shared" si="4"/>
        <v>583</v>
      </c>
      <c r="N34" s="9">
        <f>SUM(B34:M34)</f>
        <v>8604</v>
      </c>
      <c r="O34" s="15"/>
    </row>
    <row r="35" spans="1:15" x14ac:dyDescent="0.25">
      <c r="A35" s="12" t="s">
        <v>52</v>
      </c>
      <c r="B35" s="30">
        <f>+B6+B7+B8+B17+B29+B15</f>
        <v>4636</v>
      </c>
      <c r="C35" s="30">
        <f t="shared" ref="C35:L35" si="5">+C6+C7+C8+C17+C29+C15</f>
        <v>5087</v>
      </c>
      <c r="D35" s="30">
        <f t="shared" si="5"/>
        <v>6076</v>
      </c>
      <c r="E35" s="30">
        <f t="shared" si="5"/>
        <v>6316</v>
      </c>
      <c r="F35" s="30">
        <f t="shared" si="5"/>
        <v>7756</v>
      </c>
      <c r="G35" s="30">
        <f t="shared" si="5"/>
        <v>8766</v>
      </c>
      <c r="H35" s="30">
        <f t="shared" si="5"/>
        <v>11663</v>
      </c>
      <c r="I35" s="30">
        <f t="shared" si="5"/>
        <v>10779</v>
      </c>
      <c r="J35" s="30">
        <f t="shared" si="5"/>
        <v>8120</v>
      </c>
      <c r="K35" s="30">
        <f t="shared" si="5"/>
        <v>5970</v>
      </c>
      <c r="L35" s="30">
        <f t="shared" si="5"/>
        <v>6317</v>
      </c>
      <c r="M35" s="30">
        <f>+M6+M7+M8+M17+M29+M15</f>
        <v>5376</v>
      </c>
      <c r="N35" s="9">
        <f>SUM(B35:M35)</f>
        <v>86862</v>
      </c>
      <c r="O35" s="15"/>
    </row>
    <row r="36" spans="1:15" x14ac:dyDescent="0.25">
      <c r="A36" s="15"/>
      <c r="B36" s="18">
        <f t="shared" ref="B36:N36" si="6">SUM(B4:B29)</f>
        <v>12326</v>
      </c>
      <c r="C36" s="18">
        <f t="shared" si="6"/>
        <v>13586</v>
      </c>
      <c r="D36" s="18">
        <f t="shared" si="6"/>
        <v>15852</v>
      </c>
      <c r="E36" s="18">
        <f t="shared" si="6"/>
        <v>16321</v>
      </c>
      <c r="F36" s="18">
        <f t="shared" si="6"/>
        <v>19554</v>
      </c>
      <c r="G36" s="18">
        <f t="shared" si="6"/>
        <v>21907</v>
      </c>
      <c r="H36" s="18">
        <f t="shared" si="6"/>
        <v>25947</v>
      </c>
      <c r="I36" s="18">
        <f t="shared" si="6"/>
        <v>25691</v>
      </c>
      <c r="J36" s="18">
        <f t="shared" si="6"/>
        <v>20001</v>
      </c>
      <c r="K36" s="18">
        <f t="shared" si="6"/>
        <v>16396</v>
      </c>
      <c r="L36" s="18">
        <f t="shared" si="6"/>
        <v>14976</v>
      </c>
      <c r="M36" s="18">
        <f t="shared" si="6"/>
        <v>14099</v>
      </c>
      <c r="N36" s="18">
        <f t="shared" si="6"/>
        <v>216656</v>
      </c>
    </row>
    <row r="37" spans="1:15" x14ac:dyDescent="0.25">
      <c r="A37" s="19"/>
    </row>
    <row r="39" spans="1:15" ht="30.75" customHeight="1" x14ac:dyDescent="0.25">
      <c r="A39" s="104" t="s">
        <v>47</v>
      </c>
      <c r="B39" s="104"/>
      <c r="C39" s="104"/>
      <c r="D39" s="104"/>
      <c r="E39" s="104"/>
      <c r="F39" s="104"/>
      <c r="G39" s="104"/>
      <c r="H39" s="104"/>
      <c r="I39" s="104"/>
    </row>
    <row r="40" spans="1:15" ht="45" customHeight="1" x14ac:dyDescent="0.25">
      <c r="A40" s="105" t="s">
        <v>48</v>
      </c>
      <c r="B40" s="105"/>
      <c r="C40" s="105"/>
      <c r="D40" s="105"/>
      <c r="E40" s="105"/>
      <c r="F40" s="105"/>
      <c r="G40" s="105"/>
      <c r="H40" s="105"/>
      <c r="I40" s="105"/>
    </row>
    <row r="41" spans="1:15" ht="43.5" customHeight="1" x14ac:dyDescent="0.25">
      <c r="A41" s="105" t="s">
        <v>53</v>
      </c>
      <c r="B41" s="105"/>
      <c r="C41" s="105"/>
      <c r="D41" s="105"/>
      <c r="E41" s="105"/>
      <c r="F41" s="105"/>
      <c r="G41" s="105"/>
      <c r="H41" s="105"/>
      <c r="I41" s="105"/>
    </row>
    <row r="42" spans="1:15" x14ac:dyDescent="0.25">
      <c r="A42" s="106" t="s">
        <v>49</v>
      </c>
      <c r="B42" s="106"/>
      <c r="C42" s="106"/>
      <c r="D42" s="106"/>
      <c r="E42" s="106"/>
      <c r="F42" s="106"/>
      <c r="G42" s="106"/>
      <c r="H42" s="106"/>
      <c r="I42" s="106"/>
    </row>
  </sheetData>
  <mergeCells count="4">
    <mergeCell ref="A39:I39"/>
    <mergeCell ref="A40:I40"/>
    <mergeCell ref="A41:I41"/>
    <mergeCell ref="A42:I42"/>
  </mergeCells>
  <phoneticPr fontId="0" type="noConversion"/>
  <pageMargins left="0.75" right="0.75" top="1" bottom="1" header="0.5" footer="0.5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1"/>
  <sheetViews>
    <sheetView zoomScale="96" zoomScaleNormal="9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44" sqref="M44"/>
    </sheetView>
  </sheetViews>
  <sheetFormatPr defaultColWidth="8.9140625" defaultRowHeight="15" x14ac:dyDescent="0.25"/>
  <cols>
    <col min="1" max="1" width="27" style="66" customWidth="1"/>
    <col min="2" max="2" width="8.9140625" style="66"/>
    <col min="3" max="13" width="8.9140625" style="66" customWidth="1"/>
    <col min="14" max="16384" width="8.9140625" style="66"/>
  </cols>
  <sheetData>
    <row r="1" spans="1:14" ht="15.6" x14ac:dyDescent="0.25">
      <c r="A1" s="81" t="s">
        <v>203</v>
      </c>
    </row>
    <row r="2" spans="1:14" x14ac:dyDescent="0.25">
      <c r="A2" s="67"/>
    </row>
    <row r="3" spans="1:14" x14ac:dyDescent="0.25">
      <c r="A3" s="67"/>
      <c r="B3" s="68" t="s">
        <v>29</v>
      </c>
      <c r="C3" s="69" t="s">
        <v>30</v>
      </c>
      <c r="D3" s="69" t="s">
        <v>31</v>
      </c>
      <c r="E3" s="69" t="s">
        <v>32</v>
      </c>
      <c r="F3" s="69" t="s">
        <v>33</v>
      </c>
      <c r="G3" s="69" t="s">
        <v>34</v>
      </c>
      <c r="H3" s="69" t="s">
        <v>35</v>
      </c>
      <c r="I3" s="69" t="s">
        <v>36</v>
      </c>
      <c r="J3" s="69" t="s">
        <v>37</v>
      </c>
      <c r="K3" s="69" t="s">
        <v>38</v>
      </c>
      <c r="L3" s="69" t="s">
        <v>39</v>
      </c>
      <c r="M3" s="69" t="s">
        <v>40</v>
      </c>
      <c r="N3" s="70" t="s">
        <v>41</v>
      </c>
    </row>
    <row r="4" spans="1:14" x14ac:dyDescent="0.25">
      <c r="A4" s="83" t="s">
        <v>190</v>
      </c>
      <c r="B4" s="74">
        <v>90</v>
      </c>
      <c r="C4" s="71">
        <v>40</v>
      </c>
      <c r="D4" s="71">
        <v>90</v>
      </c>
      <c r="E4" s="71">
        <v>150</v>
      </c>
      <c r="F4" s="71">
        <v>60</v>
      </c>
      <c r="G4" s="72">
        <v>60</v>
      </c>
      <c r="H4" s="71">
        <v>90</v>
      </c>
      <c r="I4" s="71">
        <v>120</v>
      </c>
      <c r="J4" s="71">
        <v>160</v>
      </c>
      <c r="K4" s="71">
        <v>70</v>
      </c>
      <c r="L4" s="71">
        <v>90</v>
      </c>
      <c r="M4" s="71">
        <v>170</v>
      </c>
      <c r="N4" s="71">
        <f>SUM(B4:M4)</f>
        <v>1190</v>
      </c>
    </row>
    <row r="5" spans="1:14" x14ac:dyDescent="0.25">
      <c r="A5" s="83" t="s">
        <v>191</v>
      </c>
      <c r="B5" s="74">
        <v>60</v>
      </c>
      <c r="C5" s="71">
        <v>20</v>
      </c>
      <c r="D5" s="71">
        <v>70</v>
      </c>
      <c r="E5" s="71">
        <v>100</v>
      </c>
      <c r="F5" s="71">
        <v>60</v>
      </c>
      <c r="G5" s="72">
        <v>100</v>
      </c>
      <c r="H5" s="71">
        <v>110</v>
      </c>
      <c r="I5" s="71">
        <v>190</v>
      </c>
      <c r="J5" s="71">
        <v>60</v>
      </c>
      <c r="K5" s="71">
        <v>80</v>
      </c>
      <c r="L5" s="71">
        <v>60</v>
      </c>
      <c r="M5" s="71">
        <v>70</v>
      </c>
      <c r="N5" s="71">
        <f t="shared" ref="N5:N6" si="0">SUM(B5:M5)</f>
        <v>980</v>
      </c>
    </row>
    <row r="6" spans="1:14" x14ac:dyDescent="0.25">
      <c r="A6" s="83" t="s">
        <v>186</v>
      </c>
      <c r="B6" s="74">
        <v>1760</v>
      </c>
      <c r="C6" s="71">
        <v>1620</v>
      </c>
      <c r="D6" s="71">
        <v>2020</v>
      </c>
      <c r="E6" s="71">
        <v>2000</v>
      </c>
      <c r="F6" s="71">
        <v>520</v>
      </c>
      <c r="G6" s="72">
        <v>1380</v>
      </c>
      <c r="H6" s="71">
        <v>2000</v>
      </c>
      <c r="I6" s="71">
        <v>2040</v>
      </c>
      <c r="J6" s="71">
        <v>1940</v>
      </c>
      <c r="K6" s="71">
        <v>1900</v>
      </c>
      <c r="L6" s="71">
        <v>1920</v>
      </c>
      <c r="M6" s="71">
        <v>1560</v>
      </c>
      <c r="N6" s="71">
        <f t="shared" si="0"/>
        <v>20660</v>
      </c>
    </row>
    <row r="7" spans="1:14" x14ac:dyDescent="0.25">
      <c r="A7" s="83" t="s">
        <v>59</v>
      </c>
      <c r="B7" s="74">
        <v>0</v>
      </c>
      <c r="C7" s="71">
        <v>0</v>
      </c>
      <c r="D7" s="71">
        <v>20</v>
      </c>
      <c r="E7" s="71">
        <v>40</v>
      </c>
      <c r="F7" s="71">
        <v>0</v>
      </c>
      <c r="G7" s="72">
        <v>0</v>
      </c>
      <c r="H7" s="71">
        <v>60</v>
      </c>
      <c r="I7" s="71">
        <v>20</v>
      </c>
      <c r="J7" s="71">
        <v>0</v>
      </c>
      <c r="K7" s="71">
        <v>0</v>
      </c>
      <c r="L7" s="71">
        <v>40</v>
      </c>
      <c r="M7" s="71">
        <v>0</v>
      </c>
      <c r="N7" s="71">
        <f>SUM(B7:M7)</f>
        <v>180</v>
      </c>
    </row>
    <row r="8" spans="1:14" x14ac:dyDescent="0.25">
      <c r="A8" s="83" t="s">
        <v>187</v>
      </c>
      <c r="B8" s="74">
        <v>1740</v>
      </c>
      <c r="C8" s="71">
        <v>1820</v>
      </c>
      <c r="D8" s="71">
        <v>2680</v>
      </c>
      <c r="E8" s="71">
        <v>2380</v>
      </c>
      <c r="F8" s="71">
        <v>780</v>
      </c>
      <c r="G8" s="72">
        <v>2120</v>
      </c>
      <c r="H8" s="71">
        <v>2520</v>
      </c>
      <c r="I8" s="71">
        <v>2420</v>
      </c>
      <c r="J8" s="71">
        <v>1980</v>
      </c>
      <c r="K8" s="71">
        <v>2440</v>
      </c>
      <c r="L8" s="71">
        <v>2000</v>
      </c>
      <c r="M8" s="71">
        <v>2320</v>
      </c>
      <c r="N8" s="71">
        <f>SUM(B8:M8)</f>
        <v>25200</v>
      </c>
    </row>
    <row r="9" spans="1:14" x14ac:dyDescent="0.25">
      <c r="A9" s="83" t="s">
        <v>188</v>
      </c>
      <c r="B9" s="74">
        <v>0</v>
      </c>
      <c r="C9" s="71">
        <v>0</v>
      </c>
      <c r="D9" s="71">
        <v>0</v>
      </c>
      <c r="E9" s="71">
        <v>0</v>
      </c>
      <c r="F9" s="71">
        <v>0</v>
      </c>
      <c r="G9" s="72">
        <v>0</v>
      </c>
      <c r="H9" s="71">
        <v>20</v>
      </c>
      <c r="I9" s="71">
        <v>0</v>
      </c>
      <c r="J9" s="71">
        <v>0</v>
      </c>
      <c r="K9" s="71">
        <v>40</v>
      </c>
      <c r="L9" s="71">
        <v>0</v>
      </c>
      <c r="M9" s="71">
        <v>0</v>
      </c>
      <c r="N9" s="71">
        <f>SUM(B9:M9)</f>
        <v>60</v>
      </c>
    </row>
    <row r="10" spans="1:14" x14ac:dyDescent="0.25">
      <c r="A10" s="83" t="s">
        <v>134</v>
      </c>
      <c r="B10" s="74">
        <v>0</v>
      </c>
      <c r="C10" s="71">
        <v>0</v>
      </c>
      <c r="D10" s="71">
        <v>0</v>
      </c>
      <c r="E10" s="71">
        <v>0</v>
      </c>
      <c r="F10" s="71">
        <v>0</v>
      </c>
      <c r="G10" s="72">
        <v>0</v>
      </c>
      <c r="H10" s="71">
        <v>0</v>
      </c>
      <c r="I10" s="71">
        <v>0</v>
      </c>
      <c r="J10" s="71">
        <v>0</v>
      </c>
      <c r="K10" s="71">
        <v>0</v>
      </c>
      <c r="L10" s="71">
        <v>0</v>
      </c>
      <c r="M10" s="71">
        <v>0</v>
      </c>
      <c r="N10" s="71">
        <f>SUM(B10:M10)</f>
        <v>0</v>
      </c>
    </row>
    <row r="11" spans="1:14" x14ac:dyDescent="0.25">
      <c r="A11" s="83" t="s">
        <v>135</v>
      </c>
      <c r="B11" s="74">
        <v>0</v>
      </c>
      <c r="C11" s="71">
        <v>0</v>
      </c>
      <c r="D11" s="71">
        <v>0</v>
      </c>
      <c r="E11" s="71">
        <v>0</v>
      </c>
      <c r="F11" s="71">
        <v>0</v>
      </c>
      <c r="G11" s="72">
        <v>0</v>
      </c>
      <c r="H11" s="71">
        <v>0</v>
      </c>
      <c r="I11" s="71">
        <v>0</v>
      </c>
      <c r="J11" s="71">
        <v>0</v>
      </c>
      <c r="K11" s="71">
        <v>0</v>
      </c>
      <c r="L11" s="71">
        <v>0</v>
      </c>
      <c r="M11" s="71">
        <v>0</v>
      </c>
      <c r="N11" s="71">
        <f t="shared" ref="N11:N52" si="1">SUM(B11:M11)</f>
        <v>0</v>
      </c>
    </row>
    <row r="12" spans="1:14" x14ac:dyDescent="0.25">
      <c r="A12" s="83" t="s">
        <v>199</v>
      </c>
      <c r="B12" s="74">
        <v>1375</v>
      </c>
      <c r="C12" s="71">
        <v>1275</v>
      </c>
      <c r="D12" s="71">
        <v>2075</v>
      </c>
      <c r="E12" s="71">
        <v>1925</v>
      </c>
      <c r="F12" s="71">
        <v>3925</v>
      </c>
      <c r="G12" s="72">
        <v>3175</v>
      </c>
      <c r="H12" s="71">
        <v>2725</v>
      </c>
      <c r="I12" s="71">
        <v>2900</v>
      </c>
      <c r="J12" s="71">
        <v>2500</v>
      </c>
      <c r="K12" s="71">
        <v>1800</v>
      </c>
      <c r="L12" s="71">
        <v>1825</v>
      </c>
      <c r="M12" s="71">
        <v>2100</v>
      </c>
      <c r="N12" s="71">
        <f t="shared" si="1"/>
        <v>27600</v>
      </c>
    </row>
    <row r="13" spans="1:14" x14ac:dyDescent="0.25">
      <c r="A13" s="83" t="s">
        <v>111</v>
      </c>
      <c r="B13" s="74">
        <v>0</v>
      </c>
      <c r="C13" s="71">
        <v>0</v>
      </c>
      <c r="D13" s="71">
        <v>0</v>
      </c>
      <c r="E13" s="71">
        <v>0</v>
      </c>
      <c r="F13" s="71">
        <v>1171</v>
      </c>
      <c r="G13" s="72">
        <v>2863</v>
      </c>
      <c r="H13" s="71">
        <v>4468</v>
      </c>
      <c r="I13" s="71">
        <v>3818</v>
      </c>
      <c r="J13" s="71">
        <v>2360</v>
      </c>
      <c r="K13" s="71">
        <v>0</v>
      </c>
      <c r="L13" s="71">
        <v>0</v>
      </c>
      <c r="M13" s="71">
        <v>0</v>
      </c>
      <c r="N13" s="71">
        <f t="shared" si="1"/>
        <v>14680</v>
      </c>
    </row>
    <row r="14" spans="1:14" x14ac:dyDescent="0.25">
      <c r="A14" s="83" t="s">
        <v>136</v>
      </c>
      <c r="B14" s="74">
        <v>1182</v>
      </c>
      <c r="C14" s="71">
        <v>1150</v>
      </c>
      <c r="D14" s="71">
        <v>1671</v>
      </c>
      <c r="E14" s="71">
        <v>2176</v>
      </c>
      <c r="F14" s="71">
        <v>1552</v>
      </c>
      <c r="G14" s="72">
        <v>0</v>
      </c>
      <c r="H14" s="71">
        <v>0</v>
      </c>
      <c r="I14" s="71">
        <v>0</v>
      </c>
      <c r="J14" s="71">
        <v>0</v>
      </c>
      <c r="K14" s="71">
        <v>1833</v>
      </c>
      <c r="L14" s="71">
        <v>1521</v>
      </c>
      <c r="M14" s="71">
        <v>1409</v>
      </c>
      <c r="N14" s="71">
        <f t="shared" si="1"/>
        <v>12494</v>
      </c>
    </row>
    <row r="15" spans="1:14" x14ac:dyDescent="0.25">
      <c r="A15" s="83" t="s">
        <v>127</v>
      </c>
      <c r="B15" s="74">
        <v>0</v>
      </c>
      <c r="C15" s="71">
        <v>1</v>
      </c>
      <c r="D15" s="71">
        <v>0</v>
      </c>
      <c r="E15" s="71">
        <v>0</v>
      </c>
      <c r="F15" s="71">
        <v>0</v>
      </c>
      <c r="G15" s="72">
        <v>1921</v>
      </c>
      <c r="H15" s="71">
        <v>3431</v>
      </c>
      <c r="I15" s="71">
        <v>3180</v>
      </c>
      <c r="J15" s="71">
        <v>2508</v>
      </c>
      <c r="K15" s="71">
        <v>0</v>
      </c>
      <c r="L15" s="71">
        <v>0</v>
      </c>
      <c r="M15" s="71">
        <v>0</v>
      </c>
      <c r="N15" s="71">
        <f t="shared" si="1"/>
        <v>11041</v>
      </c>
    </row>
    <row r="16" spans="1:14" x14ac:dyDescent="0.25">
      <c r="A16" s="83" t="s">
        <v>137</v>
      </c>
      <c r="B16" s="74">
        <v>1852</v>
      </c>
      <c r="C16" s="71">
        <v>1619</v>
      </c>
      <c r="D16" s="71">
        <v>2158</v>
      </c>
      <c r="E16" s="71">
        <v>2582</v>
      </c>
      <c r="F16" s="71">
        <v>1134</v>
      </c>
      <c r="G16" s="72">
        <v>0</v>
      </c>
      <c r="H16" s="71">
        <v>0</v>
      </c>
      <c r="I16" s="71">
        <v>0</v>
      </c>
      <c r="J16" s="71">
        <v>0</v>
      </c>
      <c r="K16" s="71">
        <v>2290</v>
      </c>
      <c r="L16" s="71">
        <v>2020</v>
      </c>
      <c r="M16" s="71">
        <v>1899</v>
      </c>
      <c r="N16" s="71">
        <f t="shared" si="1"/>
        <v>15554</v>
      </c>
    </row>
    <row r="17" spans="1:14" x14ac:dyDescent="0.25">
      <c r="A17" s="83" t="s">
        <v>8</v>
      </c>
      <c r="B17" s="74">
        <v>14</v>
      </c>
      <c r="C17" s="71">
        <v>0</v>
      </c>
      <c r="D17" s="71">
        <v>2</v>
      </c>
      <c r="E17" s="71">
        <v>0</v>
      </c>
      <c r="F17" s="71">
        <v>0</v>
      </c>
      <c r="G17" s="72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1">
        <v>0</v>
      </c>
      <c r="N17" s="71">
        <f t="shared" si="1"/>
        <v>16</v>
      </c>
    </row>
    <row r="18" spans="1:14" x14ac:dyDescent="0.25">
      <c r="A18" s="83" t="s">
        <v>62</v>
      </c>
      <c r="B18" s="74">
        <v>3</v>
      </c>
      <c r="C18" s="71">
        <v>0</v>
      </c>
      <c r="D18" s="71">
        <v>0</v>
      </c>
      <c r="E18" s="71">
        <v>0</v>
      </c>
      <c r="F18" s="71">
        <v>1</v>
      </c>
      <c r="G18" s="72">
        <v>4</v>
      </c>
      <c r="H18" s="71">
        <v>2</v>
      </c>
      <c r="I18" s="71">
        <v>1</v>
      </c>
      <c r="J18" s="71">
        <v>1</v>
      </c>
      <c r="K18" s="71">
        <v>0</v>
      </c>
      <c r="L18" s="71">
        <v>1</v>
      </c>
      <c r="M18" s="71">
        <v>2</v>
      </c>
      <c r="N18" s="71">
        <f t="shared" si="1"/>
        <v>15</v>
      </c>
    </row>
    <row r="19" spans="1:14" x14ac:dyDescent="0.25">
      <c r="A19" s="83" t="s">
        <v>138</v>
      </c>
      <c r="B19" s="74">
        <v>0</v>
      </c>
      <c r="C19" s="71">
        <v>0</v>
      </c>
      <c r="D19" s="71">
        <v>0</v>
      </c>
      <c r="E19" s="71">
        <v>0</v>
      </c>
      <c r="F19" s="71">
        <v>8</v>
      </c>
      <c r="G19" s="72">
        <v>9</v>
      </c>
      <c r="H19" s="71">
        <v>51</v>
      </c>
      <c r="I19" s="71">
        <v>19</v>
      </c>
      <c r="J19" s="71">
        <v>16</v>
      </c>
      <c r="K19" s="71">
        <v>0</v>
      </c>
      <c r="L19" s="71">
        <v>0</v>
      </c>
      <c r="M19" s="71">
        <v>0</v>
      </c>
      <c r="N19" s="71">
        <f t="shared" si="1"/>
        <v>103</v>
      </c>
    </row>
    <row r="20" spans="1:14" x14ac:dyDescent="0.25">
      <c r="A20" s="83" t="s">
        <v>139</v>
      </c>
      <c r="B20" s="74">
        <v>3</v>
      </c>
      <c r="C20" s="71">
        <v>2</v>
      </c>
      <c r="D20" s="71">
        <v>4</v>
      </c>
      <c r="E20" s="71">
        <v>6</v>
      </c>
      <c r="F20" s="71">
        <v>5</v>
      </c>
      <c r="G20" s="72">
        <v>0</v>
      </c>
      <c r="H20" s="71">
        <v>0</v>
      </c>
      <c r="I20" s="71">
        <v>0</v>
      </c>
      <c r="J20" s="71">
        <v>0</v>
      </c>
      <c r="K20" s="71">
        <v>11</v>
      </c>
      <c r="L20" s="71">
        <v>1</v>
      </c>
      <c r="M20" s="71">
        <v>2</v>
      </c>
      <c r="N20" s="71">
        <f t="shared" si="1"/>
        <v>34</v>
      </c>
    </row>
    <row r="21" spans="1:14" x14ac:dyDescent="0.25">
      <c r="A21" s="83" t="s">
        <v>11</v>
      </c>
      <c r="B21" s="74">
        <v>11</v>
      </c>
      <c r="C21" s="71">
        <v>15</v>
      </c>
      <c r="D21" s="71">
        <v>18</v>
      </c>
      <c r="E21" s="71">
        <v>14</v>
      </c>
      <c r="F21" s="71">
        <v>16</v>
      </c>
      <c r="G21" s="72">
        <v>12</v>
      </c>
      <c r="H21" s="71">
        <v>0</v>
      </c>
      <c r="I21" s="71">
        <v>0</v>
      </c>
      <c r="J21" s="71">
        <v>17</v>
      </c>
      <c r="K21" s="71">
        <v>21</v>
      </c>
      <c r="L21" s="71">
        <v>18</v>
      </c>
      <c r="M21" s="71">
        <v>13</v>
      </c>
      <c r="N21" s="71">
        <f>SUM(B21:M21)</f>
        <v>155</v>
      </c>
    </row>
    <row r="22" spans="1:14" x14ac:dyDescent="0.25">
      <c r="A22" s="83" t="s">
        <v>12</v>
      </c>
      <c r="B22" s="74">
        <v>10</v>
      </c>
      <c r="C22" s="71">
        <v>12</v>
      </c>
      <c r="D22" s="71">
        <v>6</v>
      </c>
      <c r="E22" s="71">
        <v>27</v>
      </c>
      <c r="F22" s="71">
        <v>3</v>
      </c>
      <c r="G22" s="72">
        <v>2</v>
      </c>
      <c r="H22" s="73">
        <v>2</v>
      </c>
      <c r="I22" s="71">
        <v>2</v>
      </c>
      <c r="J22" s="71">
        <v>9</v>
      </c>
      <c r="K22" s="71">
        <v>1</v>
      </c>
      <c r="L22" s="71">
        <v>2</v>
      </c>
      <c r="M22" s="71">
        <v>0</v>
      </c>
      <c r="N22" s="71">
        <f t="shared" si="1"/>
        <v>76</v>
      </c>
    </row>
    <row r="23" spans="1:14" x14ac:dyDescent="0.25">
      <c r="A23" s="83" t="s">
        <v>145</v>
      </c>
      <c r="B23" s="74">
        <v>0</v>
      </c>
      <c r="C23" s="71">
        <v>0</v>
      </c>
      <c r="D23" s="71">
        <v>0</v>
      </c>
      <c r="E23" s="71">
        <v>0</v>
      </c>
      <c r="F23" s="71">
        <v>0</v>
      </c>
      <c r="G23" s="72">
        <v>507</v>
      </c>
      <c r="H23" s="71">
        <v>938</v>
      </c>
      <c r="I23" s="71">
        <v>851</v>
      </c>
      <c r="J23" s="71">
        <v>699</v>
      </c>
      <c r="K23" s="71">
        <v>0</v>
      </c>
      <c r="L23" s="71">
        <v>0</v>
      </c>
      <c r="M23" s="71">
        <v>0</v>
      </c>
      <c r="N23" s="71">
        <f>SUM(B23:M23)</f>
        <v>2995</v>
      </c>
    </row>
    <row r="24" spans="1:14" x14ac:dyDescent="0.25">
      <c r="A24" s="83" t="s">
        <v>146</v>
      </c>
      <c r="B24" s="74">
        <v>409</v>
      </c>
      <c r="C24" s="71">
        <v>353</v>
      </c>
      <c r="D24" s="71">
        <v>507</v>
      </c>
      <c r="E24" s="71">
        <v>665</v>
      </c>
      <c r="F24" s="71">
        <v>357</v>
      </c>
      <c r="G24" s="72">
        <v>0</v>
      </c>
      <c r="H24" s="71">
        <v>0</v>
      </c>
      <c r="I24" s="71">
        <v>0</v>
      </c>
      <c r="J24" s="71">
        <v>0</v>
      </c>
      <c r="K24" s="71">
        <v>606</v>
      </c>
      <c r="L24" s="71">
        <v>527</v>
      </c>
      <c r="M24" s="71">
        <v>499</v>
      </c>
      <c r="N24" s="71">
        <f>SUM(B24:M24)</f>
        <v>3923</v>
      </c>
    </row>
    <row r="25" spans="1:14" x14ac:dyDescent="0.25">
      <c r="A25" s="83" t="s">
        <v>184</v>
      </c>
      <c r="B25" s="74">
        <v>0</v>
      </c>
      <c r="C25" s="71">
        <v>0</v>
      </c>
      <c r="D25" s="71">
        <v>0</v>
      </c>
      <c r="E25" s="71">
        <v>0</v>
      </c>
      <c r="F25" s="71">
        <v>477</v>
      </c>
      <c r="G25" s="72">
        <v>1585</v>
      </c>
      <c r="H25" s="71">
        <v>2643</v>
      </c>
      <c r="I25" s="71">
        <v>2349</v>
      </c>
      <c r="J25" s="71">
        <v>1135</v>
      </c>
      <c r="K25" s="71">
        <v>0</v>
      </c>
      <c r="L25" s="71">
        <v>0</v>
      </c>
      <c r="M25" s="71">
        <v>0</v>
      </c>
      <c r="N25" s="71">
        <f>SUM(B25:M25)</f>
        <v>8189</v>
      </c>
    </row>
    <row r="26" spans="1:14" x14ac:dyDescent="0.25">
      <c r="A26" s="83" t="s">
        <v>183</v>
      </c>
      <c r="B26" s="74">
        <v>499</v>
      </c>
      <c r="C26" s="71">
        <v>440</v>
      </c>
      <c r="D26" s="71">
        <v>702</v>
      </c>
      <c r="E26" s="71">
        <v>1108</v>
      </c>
      <c r="F26" s="71">
        <v>671</v>
      </c>
      <c r="G26" s="72">
        <v>0</v>
      </c>
      <c r="H26" s="71">
        <v>0</v>
      </c>
      <c r="I26" s="71">
        <v>0</v>
      </c>
      <c r="J26" s="71">
        <v>0</v>
      </c>
      <c r="K26" s="71">
        <v>720</v>
      </c>
      <c r="L26" s="71">
        <v>638</v>
      </c>
      <c r="M26" s="71">
        <v>511</v>
      </c>
      <c r="N26" s="71">
        <f>SUM(B26:M26)</f>
        <v>5289</v>
      </c>
    </row>
    <row r="27" spans="1:14" x14ac:dyDescent="0.25">
      <c r="A27" s="83" t="s">
        <v>140</v>
      </c>
      <c r="B27" s="74">
        <v>0</v>
      </c>
      <c r="C27" s="71">
        <v>0</v>
      </c>
      <c r="D27" s="71">
        <v>0</v>
      </c>
      <c r="E27" s="71">
        <v>0</v>
      </c>
      <c r="F27" s="71">
        <v>0</v>
      </c>
      <c r="G27" s="72">
        <v>5</v>
      </c>
      <c r="H27" s="71">
        <v>10</v>
      </c>
      <c r="I27" s="71">
        <v>7</v>
      </c>
      <c r="J27" s="71">
        <v>1</v>
      </c>
      <c r="K27" s="71">
        <v>0</v>
      </c>
      <c r="L27" s="71">
        <v>0</v>
      </c>
      <c r="M27" s="71">
        <v>0</v>
      </c>
      <c r="N27" s="71">
        <f t="shared" si="1"/>
        <v>23</v>
      </c>
    </row>
    <row r="28" spans="1:14" x14ac:dyDescent="0.25">
      <c r="A28" s="83" t="s">
        <v>141</v>
      </c>
      <c r="B28" s="74">
        <v>0</v>
      </c>
      <c r="C28" s="71">
        <v>0</v>
      </c>
      <c r="D28" s="71">
        <v>0</v>
      </c>
      <c r="E28" s="71">
        <v>3</v>
      </c>
      <c r="F28" s="71">
        <v>0</v>
      </c>
      <c r="G28" s="72">
        <v>0</v>
      </c>
      <c r="H28" s="71">
        <v>0</v>
      </c>
      <c r="I28" s="71">
        <v>0</v>
      </c>
      <c r="J28" s="71">
        <v>0</v>
      </c>
      <c r="K28" s="71">
        <v>2</v>
      </c>
      <c r="L28" s="71">
        <v>0</v>
      </c>
      <c r="M28" s="71">
        <v>0</v>
      </c>
      <c r="N28" s="71">
        <f t="shared" si="1"/>
        <v>5</v>
      </c>
    </row>
    <row r="29" spans="1:14" x14ac:dyDescent="0.25">
      <c r="A29" s="83" t="s">
        <v>91</v>
      </c>
      <c r="B29" s="74">
        <v>0</v>
      </c>
      <c r="C29" s="71">
        <v>0</v>
      </c>
      <c r="D29" s="71">
        <v>0</v>
      </c>
      <c r="E29" s="71">
        <v>0</v>
      </c>
      <c r="F29" s="71">
        <v>0</v>
      </c>
      <c r="G29" s="72">
        <v>0</v>
      </c>
      <c r="H29" s="71">
        <v>0</v>
      </c>
      <c r="I29" s="71">
        <v>0</v>
      </c>
      <c r="J29" s="71">
        <v>0</v>
      </c>
      <c r="K29" s="71">
        <v>0</v>
      </c>
      <c r="L29" s="71">
        <v>0</v>
      </c>
      <c r="M29" s="71">
        <v>0</v>
      </c>
      <c r="N29" s="71">
        <f>SUM(B29:M29)</f>
        <v>0</v>
      </c>
    </row>
    <row r="30" spans="1:14" x14ac:dyDescent="0.25">
      <c r="A30" s="83" t="s">
        <v>202</v>
      </c>
      <c r="B30" s="74">
        <v>1400</v>
      </c>
      <c r="C30" s="71">
        <v>1125</v>
      </c>
      <c r="D30" s="71">
        <v>1850</v>
      </c>
      <c r="E30" s="71">
        <v>2375</v>
      </c>
      <c r="F30" s="71">
        <v>3675</v>
      </c>
      <c r="G30" s="72">
        <v>3100</v>
      </c>
      <c r="H30" s="71">
        <v>2900</v>
      </c>
      <c r="I30" s="71">
        <v>2950</v>
      </c>
      <c r="J30" s="71">
        <v>2375</v>
      </c>
      <c r="K30" s="71">
        <v>1775</v>
      </c>
      <c r="L30" s="71">
        <v>1725</v>
      </c>
      <c r="M30" s="71">
        <v>1525</v>
      </c>
      <c r="N30" s="71">
        <f>SUM(B30:M30)</f>
        <v>26775</v>
      </c>
    </row>
    <row r="31" spans="1:14" x14ac:dyDescent="0.25">
      <c r="A31" s="83" t="s">
        <v>116</v>
      </c>
      <c r="B31" s="74">
        <v>0</v>
      </c>
      <c r="C31" s="71">
        <v>0</v>
      </c>
      <c r="D31" s="71">
        <v>0</v>
      </c>
      <c r="E31" s="71">
        <v>0</v>
      </c>
      <c r="F31" s="71">
        <v>0</v>
      </c>
      <c r="G31" s="72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f>SUM(B31:M31)</f>
        <v>0</v>
      </c>
    </row>
    <row r="32" spans="1:14" x14ac:dyDescent="0.25">
      <c r="A32" s="83" t="s">
        <v>142</v>
      </c>
      <c r="B32" s="74">
        <v>0</v>
      </c>
      <c r="C32" s="71">
        <v>0</v>
      </c>
      <c r="D32" s="71">
        <v>0</v>
      </c>
      <c r="E32" s="71">
        <v>0</v>
      </c>
      <c r="F32" s="71">
        <v>0</v>
      </c>
      <c r="G32" s="72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f>SUM(B32:M32)</f>
        <v>0</v>
      </c>
    </row>
    <row r="33" spans="1:14" x14ac:dyDescent="0.25">
      <c r="A33" s="83" t="s">
        <v>118</v>
      </c>
      <c r="B33" s="74">
        <v>0</v>
      </c>
      <c r="C33" s="71">
        <v>0</v>
      </c>
      <c r="D33" s="71">
        <v>0</v>
      </c>
      <c r="E33" s="71">
        <v>0</v>
      </c>
      <c r="F33" s="71">
        <v>0</v>
      </c>
      <c r="G33" s="72">
        <v>142</v>
      </c>
      <c r="H33" s="71">
        <v>292</v>
      </c>
      <c r="I33" s="71">
        <v>226</v>
      </c>
      <c r="J33" s="71">
        <v>199</v>
      </c>
      <c r="K33" s="71">
        <v>0</v>
      </c>
      <c r="L33" s="71">
        <v>0</v>
      </c>
      <c r="M33" s="71">
        <v>0</v>
      </c>
      <c r="N33" s="71">
        <f t="shared" si="1"/>
        <v>859</v>
      </c>
    </row>
    <row r="34" spans="1:14" x14ac:dyDescent="0.25">
      <c r="A34" s="83" t="s">
        <v>147</v>
      </c>
      <c r="B34" s="74">
        <v>239</v>
      </c>
      <c r="C34" s="71">
        <v>234</v>
      </c>
      <c r="D34" s="71">
        <v>285</v>
      </c>
      <c r="E34" s="71">
        <v>276</v>
      </c>
      <c r="F34" s="71">
        <v>147</v>
      </c>
      <c r="G34" s="72">
        <v>0</v>
      </c>
      <c r="H34" s="71">
        <v>0</v>
      </c>
      <c r="I34" s="71">
        <v>0</v>
      </c>
      <c r="J34" s="71">
        <v>0</v>
      </c>
      <c r="K34" s="71">
        <v>234</v>
      </c>
      <c r="L34" s="71">
        <v>207</v>
      </c>
      <c r="M34" s="71">
        <v>219</v>
      </c>
      <c r="N34" s="71">
        <f t="shared" si="1"/>
        <v>1841</v>
      </c>
    </row>
    <row r="35" spans="1:14" x14ac:dyDescent="0.25">
      <c r="A35" s="83" t="s">
        <v>119</v>
      </c>
      <c r="B35" s="74">
        <v>0</v>
      </c>
      <c r="C35" s="71">
        <v>0</v>
      </c>
      <c r="D35" s="71">
        <v>0</v>
      </c>
      <c r="E35" s="71">
        <v>0</v>
      </c>
      <c r="F35" s="71">
        <v>0</v>
      </c>
      <c r="G35" s="72">
        <v>65</v>
      </c>
      <c r="H35" s="71">
        <v>79</v>
      </c>
      <c r="I35" s="71">
        <v>86</v>
      </c>
      <c r="J35" s="71">
        <v>116</v>
      </c>
      <c r="K35" s="71">
        <v>0</v>
      </c>
      <c r="L35" s="71">
        <v>0</v>
      </c>
      <c r="M35" s="71">
        <v>0</v>
      </c>
      <c r="N35" s="71">
        <f t="shared" si="1"/>
        <v>346</v>
      </c>
    </row>
    <row r="36" spans="1:14" x14ac:dyDescent="0.25">
      <c r="A36" s="83" t="s">
        <v>148</v>
      </c>
      <c r="B36" s="74">
        <v>100</v>
      </c>
      <c r="C36" s="71">
        <v>48</v>
      </c>
      <c r="D36" s="71">
        <v>77</v>
      </c>
      <c r="E36" s="71">
        <v>98</v>
      </c>
      <c r="F36" s="71">
        <v>72</v>
      </c>
      <c r="G36" s="72">
        <v>0</v>
      </c>
      <c r="H36" s="71">
        <v>0</v>
      </c>
      <c r="I36" s="71">
        <v>0</v>
      </c>
      <c r="J36" s="71">
        <v>0</v>
      </c>
      <c r="K36" s="71">
        <v>98</v>
      </c>
      <c r="L36" s="71">
        <v>57</v>
      </c>
      <c r="M36" s="71">
        <v>130</v>
      </c>
      <c r="N36" s="71">
        <f t="shared" si="1"/>
        <v>680</v>
      </c>
    </row>
    <row r="37" spans="1:14" x14ac:dyDescent="0.25">
      <c r="A37" s="83" t="s">
        <v>120</v>
      </c>
      <c r="B37" s="74">
        <v>0</v>
      </c>
      <c r="C37" s="71">
        <v>0</v>
      </c>
      <c r="D37" s="71">
        <v>0</v>
      </c>
      <c r="E37" s="71">
        <v>0</v>
      </c>
      <c r="F37" s="71">
        <v>0</v>
      </c>
      <c r="G37" s="72">
        <v>61</v>
      </c>
      <c r="H37" s="71">
        <v>111</v>
      </c>
      <c r="I37" s="71">
        <v>105</v>
      </c>
      <c r="J37" s="71">
        <v>93</v>
      </c>
      <c r="K37" s="71">
        <v>0</v>
      </c>
      <c r="L37" s="71">
        <v>0</v>
      </c>
      <c r="M37" s="71">
        <v>0</v>
      </c>
      <c r="N37" s="71">
        <f t="shared" si="1"/>
        <v>370</v>
      </c>
    </row>
    <row r="38" spans="1:14" x14ac:dyDescent="0.25">
      <c r="A38" s="83" t="s">
        <v>149</v>
      </c>
      <c r="B38" s="74">
        <v>53</v>
      </c>
      <c r="C38" s="71">
        <v>67</v>
      </c>
      <c r="D38" s="71">
        <v>84</v>
      </c>
      <c r="E38" s="71">
        <v>90</v>
      </c>
      <c r="F38" s="71">
        <v>59</v>
      </c>
      <c r="G38" s="72">
        <v>0</v>
      </c>
      <c r="H38" s="71">
        <v>0</v>
      </c>
      <c r="I38" s="71">
        <v>0</v>
      </c>
      <c r="J38" s="71">
        <v>0</v>
      </c>
      <c r="K38" s="71">
        <v>95</v>
      </c>
      <c r="L38" s="71">
        <v>67</v>
      </c>
      <c r="M38" s="71">
        <v>58</v>
      </c>
      <c r="N38" s="71">
        <f t="shared" si="1"/>
        <v>573</v>
      </c>
    </row>
    <row r="39" spans="1:14" x14ac:dyDescent="0.25">
      <c r="A39" s="83" t="s">
        <v>121</v>
      </c>
      <c r="B39" s="74">
        <v>0</v>
      </c>
      <c r="C39" s="71">
        <v>0</v>
      </c>
      <c r="D39" s="71">
        <v>0</v>
      </c>
      <c r="E39" s="71">
        <v>0</v>
      </c>
      <c r="F39" s="71">
        <v>0</v>
      </c>
      <c r="G39" s="72">
        <v>39</v>
      </c>
      <c r="H39" s="71">
        <v>81</v>
      </c>
      <c r="I39" s="71">
        <v>89</v>
      </c>
      <c r="J39" s="71">
        <v>76</v>
      </c>
      <c r="K39" s="71">
        <v>0</v>
      </c>
      <c r="L39" s="71">
        <v>0</v>
      </c>
      <c r="M39" s="71">
        <v>0</v>
      </c>
      <c r="N39" s="71">
        <f t="shared" si="1"/>
        <v>285</v>
      </c>
    </row>
    <row r="40" spans="1:14" x14ac:dyDescent="0.25">
      <c r="A40" s="83" t="s">
        <v>150</v>
      </c>
      <c r="B40" s="74">
        <v>45</v>
      </c>
      <c r="C40" s="71">
        <v>38</v>
      </c>
      <c r="D40" s="71">
        <v>61</v>
      </c>
      <c r="E40" s="71">
        <v>84</v>
      </c>
      <c r="F40" s="71">
        <v>33</v>
      </c>
      <c r="G40" s="72">
        <v>0</v>
      </c>
      <c r="H40" s="71">
        <v>0</v>
      </c>
      <c r="I40" s="71">
        <v>0</v>
      </c>
      <c r="J40" s="71">
        <v>0</v>
      </c>
      <c r="K40" s="71">
        <v>72</v>
      </c>
      <c r="L40" s="71">
        <v>54</v>
      </c>
      <c r="M40" s="71">
        <v>36</v>
      </c>
      <c r="N40" s="71">
        <f t="shared" si="1"/>
        <v>423</v>
      </c>
    </row>
    <row r="41" spans="1:14" x14ac:dyDescent="0.25">
      <c r="A41" s="83" t="s">
        <v>122</v>
      </c>
      <c r="B41" s="74">
        <v>0</v>
      </c>
      <c r="C41" s="71">
        <v>0</v>
      </c>
      <c r="D41" s="71">
        <v>0</v>
      </c>
      <c r="E41" s="71">
        <v>0</v>
      </c>
      <c r="F41" s="71">
        <v>0</v>
      </c>
      <c r="G41" s="72">
        <v>29</v>
      </c>
      <c r="H41" s="71">
        <v>50</v>
      </c>
      <c r="I41" s="71">
        <v>43</v>
      </c>
      <c r="J41" s="71">
        <v>37</v>
      </c>
      <c r="K41" s="71">
        <v>0</v>
      </c>
      <c r="L41" s="71">
        <v>0</v>
      </c>
      <c r="M41" s="71">
        <v>0</v>
      </c>
      <c r="N41" s="71">
        <f t="shared" si="1"/>
        <v>159</v>
      </c>
    </row>
    <row r="42" spans="1:14" x14ac:dyDescent="0.25">
      <c r="A42" s="83" t="s">
        <v>151</v>
      </c>
      <c r="B42" s="74">
        <v>13</v>
      </c>
      <c r="C42" s="71">
        <v>7</v>
      </c>
      <c r="D42" s="71">
        <v>22</v>
      </c>
      <c r="E42" s="71">
        <v>29</v>
      </c>
      <c r="F42" s="71">
        <v>24</v>
      </c>
      <c r="G42" s="72">
        <v>0</v>
      </c>
      <c r="H42" s="71">
        <v>0</v>
      </c>
      <c r="I42" s="71">
        <v>0</v>
      </c>
      <c r="J42" s="71">
        <v>0</v>
      </c>
      <c r="K42" s="71">
        <v>25</v>
      </c>
      <c r="L42" s="71">
        <v>14</v>
      </c>
      <c r="M42" s="71">
        <v>11</v>
      </c>
      <c r="N42" s="71">
        <f t="shared" si="1"/>
        <v>145</v>
      </c>
    </row>
    <row r="43" spans="1:14" x14ac:dyDescent="0.25">
      <c r="A43" s="83" t="s">
        <v>123</v>
      </c>
      <c r="B43" s="74">
        <v>0</v>
      </c>
      <c r="C43" s="71">
        <v>0</v>
      </c>
      <c r="D43" s="71">
        <v>0</v>
      </c>
      <c r="E43" s="71">
        <v>0</v>
      </c>
      <c r="F43" s="71">
        <v>0</v>
      </c>
      <c r="G43" s="72">
        <v>16</v>
      </c>
      <c r="H43" s="71">
        <v>16</v>
      </c>
      <c r="I43" s="71">
        <v>16</v>
      </c>
      <c r="J43" s="71">
        <v>16</v>
      </c>
      <c r="K43" s="71">
        <v>0</v>
      </c>
      <c r="L43" s="71">
        <v>0</v>
      </c>
      <c r="M43" s="71">
        <v>0</v>
      </c>
      <c r="N43" s="71">
        <f t="shared" si="1"/>
        <v>64</v>
      </c>
    </row>
    <row r="44" spans="1:14" x14ac:dyDescent="0.25">
      <c r="A44" s="83" t="s">
        <v>152</v>
      </c>
      <c r="B44" s="74">
        <v>10</v>
      </c>
      <c r="C44" s="71">
        <v>8</v>
      </c>
      <c r="D44" s="71">
        <v>12</v>
      </c>
      <c r="E44" s="71">
        <v>10</v>
      </c>
      <c r="F44" s="71">
        <v>9</v>
      </c>
      <c r="G44" s="72">
        <v>0</v>
      </c>
      <c r="H44" s="71">
        <v>0</v>
      </c>
      <c r="I44" s="71">
        <v>0</v>
      </c>
      <c r="J44" s="71">
        <v>0</v>
      </c>
      <c r="K44" s="71">
        <v>9</v>
      </c>
      <c r="L44" s="71">
        <v>9</v>
      </c>
      <c r="M44" s="71">
        <v>14</v>
      </c>
      <c r="N44" s="71">
        <f t="shared" si="1"/>
        <v>81</v>
      </c>
    </row>
    <row r="45" spans="1:14" x14ac:dyDescent="0.25">
      <c r="A45" s="83" t="s">
        <v>124</v>
      </c>
      <c r="B45" s="74">
        <v>0</v>
      </c>
      <c r="C45" s="71">
        <v>0</v>
      </c>
      <c r="D45" s="71">
        <v>0</v>
      </c>
      <c r="E45" s="71">
        <v>0</v>
      </c>
      <c r="F45" s="71">
        <v>0</v>
      </c>
      <c r="G45" s="72">
        <v>8</v>
      </c>
      <c r="H45" s="71">
        <v>4</v>
      </c>
      <c r="I45" s="71">
        <v>9</v>
      </c>
      <c r="J45" s="71">
        <v>6</v>
      </c>
      <c r="K45" s="71">
        <v>0</v>
      </c>
      <c r="L45" s="71">
        <v>0</v>
      </c>
      <c r="M45" s="71">
        <v>0</v>
      </c>
      <c r="N45" s="71">
        <f t="shared" si="1"/>
        <v>27</v>
      </c>
    </row>
    <row r="46" spans="1:14" x14ac:dyDescent="0.25">
      <c r="A46" s="83" t="s">
        <v>153</v>
      </c>
      <c r="B46" s="74">
        <v>2</v>
      </c>
      <c r="C46" s="71">
        <v>1</v>
      </c>
      <c r="D46" s="71">
        <v>6</v>
      </c>
      <c r="E46" s="71">
        <v>6</v>
      </c>
      <c r="F46" s="71">
        <v>2</v>
      </c>
      <c r="G46" s="72">
        <v>0</v>
      </c>
      <c r="H46" s="71">
        <v>0</v>
      </c>
      <c r="I46" s="71">
        <v>0</v>
      </c>
      <c r="J46" s="71">
        <v>0</v>
      </c>
      <c r="K46" s="71">
        <v>4</v>
      </c>
      <c r="L46" s="71">
        <v>6</v>
      </c>
      <c r="M46" s="71">
        <v>1</v>
      </c>
      <c r="N46" s="71">
        <f t="shared" si="1"/>
        <v>28</v>
      </c>
    </row>
    <row r="47" spans="1:14" x14ac:dyDescent="0.25">
      <c r="A47" s="83" t="s">
        <v>125</v>
      </c>
      <c r="B47" s="74">
        <v>0</v>
      </c>
      <c r="C47" s="71">
        <v>0</v>
      </c>
      <c r="D47" s="71">
        <v>0</v>
      </c>
      <c r="E47" s="71">
        <v>0</v>
      </c>
      <c r="F47" s="71">
        <v>0</v>
      </c>
      <c r="G47" s="72">
        <v>2</v>
      </c>
      <c r="H47" s="71">
        <v>1</v>
      </c>
      <c r="I47" s="71">
        <v>3</v>
      </c>
      <c r="J47" s="71">
        <v>1</v>
      </c>
      <c r="K47" s="71">
        <v>0</v>
      </c>
      <c r="L47" s="71">
        <v>0</v>
      </c>
      <c r="M47" s="71">
        <v>0</v>
      </c>
      <c r="N47" s="71">
        <f t="shared" si="1"/>
        <v>7</v>
      </c>
    </row>
    <row r="48" spans="1:14" x14ac:dyDescent="0.25">
      <c r="A48" s="83" t="s">
        <v>154</v>
      </c>
      <c r="B48" s="74">
        <v>0</v>
      </c>
      <c r="C48" s="71">
        <v>0</v>
      </c>
      <c r="D48" s="71">
        <v>1</v>
      </c>
      <c r="E48" s="71">
        <v>2</v>
      </c>
      <c r="F48" s="71">
        <v>0</v>
      </c>
      <c r="G48" s="72">
        <v>0</v>
      </c>
      <c r="H48" s="71">
        <v>0</v>
      </c>
      <c r="I48" s="71">
        <v>0</v>
      </c>
      <c r="J48" s="71">
        <v>0</v>
      </c>
      <c r="K48" s="71">
        <v>6</v>
      </c>
      <c r="L48" s="71">
        <v>4</v>
      </c>
      <c r="M48" s="71">
        <v>2</v>
      </c>
      <c r="N48" s="71">
        <f t="shared" si="1"/>
        <v>15</v>
      </c>
    </row>
    <row r="49" spans="1:14" x14ac:dyDescent="0.25">
      <c r="A49" s="83" t="s">
        <v>126</v>
      </c>
      <c r="B49" s="74">
        <v>0</v>
      </c>
      <c r="C49" s="71">
        <v>0</v>
      </c>
      <c r="D49" s="71">
        <v>0</v>
      </c>
      <c r="E49" s="71">
        <v>0</v>
      </c>
      <c r="F49" s="71">
        <v>0</v>
      </c>
      <c r="G49" s="72">
        <v>2</v>
      </c>
      <c r="H49" s="71">
        <v>5</v>
      </c>
      <c r="I49" s="71">
        <v>2</v>
      </c>
      <c r="J49" s="71">
        <v>5</v>
      </c>
      <c r="K49" s="71">
        <v>0</v>
      </c>
      <c r="L49" s="71">
        <v>0</v>
      </c>
      <c r="M49" s="71">
        <v>0</v>
      </c>
      <c r="N49" s="71">
        <f t="shared" si="1"/>
        <v>14</v>
      </c>
    </row>
    <row r="50" spans="1:14" x14ac:dyDescent="0.25">
      <c r="A50" s="83" t="s">
        <v>155</v>
      </c>
      <c r="B50" s="74">
        <v>13</v>
      </c>
      <c r="C50" s="71">
        <v>6</v>
      </c>
      <c r="D50" s="71">
        <v>5</v>
      </c>
      <c r="E50" s="71">
        <v>16</v>
      </c>
      <c r="F50" s="71">
        <v>3</v>
      </c>
      <c r="G50" s="72">
        <v>0</v>
      </c>
      <c r="H50" s="71">
        <v>0</v>
      </c>
      <c r="I50" s="71">
        <v>0</v>
      </c>
      <c r="J50" s="71">
        <v>0</v>
      </c>
      <c r="K50" s="71">
        <v>4</v>
      </c>
      <c r="L50" s="71">
        <v>1</v>
      </c>
      <c r="M50" s="71">
        <v>1</v>
      </c>
      <c r="N50" s="71">
        <f t="shared" si="1"/>
        <v>49</v>
      </c>
    </row>
    <row r="51" spans="1:14" x14ac:dyDescent="0.25">
      <c r="A51" s="78" t="s">
        <v>77</v>
      </c>
      <c r="B51" s="82">
        <v>11</v>
      </c>
      <c r="C51" s="71">
        <v>15</v>
      </c>
      <c r="D51" s="71">
        <v>18</v>
      </c>
      <c r="E51" s="71">
        <v>14</v>
      </c>
      <c r="F51" s="71">
        <v>16</v>
      </c>
      <c r="G51" s="71">
        <v>12</v>
      </c>
      <c r="H51" s="71">
        <v>0</v>
      </c>
      <c r="I51" s="71">
        <v>0</v>
      </c>
      <c r="J51" s="71">
        <v>17</v>
      </c>
      <c r="K51" s="71">
        <v>21</v>
      </c>
      <c r="L51" s="71">
        <v>18</v>
      </c>
      <c r="M51" s="71">
        <v>13</v>
      </c>
      <c r="N51" s="72">
        <f t="shared" si="1"/>
        <v>155</v>
      </c>
    </row>
    <row r="52" spans="1:14" x14ac:dyDescent="0.25">
      <c r="A52" s="78" t="s">
        <v>26</v>
      </c>
      <c r="B52" s="82">
        <v>715</v>
      </c>
      <c r="C52" s="71">
        <v>636</v>
      </c>
      <c r="D52" s="71">
        <v>667</v>
      </c>
      <c r="E52" s="71">
        <v>682</v>
      </c>
      <c r="F52" s="71">
        <v>742</v>
      </c>
      <c r="G52" s="71">
        <v>713</v>
      </c>
      <c r="H52" s="71">
        <v>754</v>
      </c>
      <c r="I52" s="71">
        <v>754</v>
      </c>
      <c r="J52" s="71">
        <v>724</v>
      </c>
      <c r="K52" s="71">
        <v>723</v>
      </c>
      <c r="L52" s="71">
        <v>687</v>
      </c>
      <c r="M52" s="71">
        <v>702</v>
      </c>
      <c r="N52" s="72">
        <f t="shared" si="1"/>
        <v>8499</v>
      </c>
    </row>
    <row r="53" spans="1:14" x14ac:dyDescent="0.25">
      <c r="A53" s="75" t="s">
        <v>158</v>
      </c>
      <c r="B53" s="66">
        <f t="shared" ref="B53:N53" si="2">SUM(B4:B52)</f>
        <v>11609</v>
      </c>
      <c r="C53" s="66">
        <f t="shared" si="2"/>
        <v>10552</v>
      </c>
      <c r="D53" s="66">
        <f t="shared" si="2"/>
        <v>15111</v>
      </c>
      <c r="E53" s="66">
        <f t="shared" si="2"/>
        <v>16858</v>
      </c>
      <c r="F53" s="66">
        <f t="shared" si="2"/>
        <v>15522</v>
      </c>
      <c r="G53" s="66">
        <f t="shared" si="2"/>
        <v>17932</v>
      </c>
      <c r="H53" s="66">
        <f>SUM(H4:H52)</f>
        <v>23363</v>
      </c>
      <c r="I53" s="66">
        <f t="shared" si="2"/>
        <v>22200</v>
      </c>
      <c r="J53" s="66">
        <f t="shared" si="2"/>
        <v>17051</v>
      </c>
      <c r="K53" s="66">
        <f t="shared" si="2"/>
        <v>14880</v>
      </c>
      <c r="L53" s="66">
        <f t="shared" si="2"/>
        <v>13512</v>
      </c>
      <c r="M53" s="66">
        <f t="shared" si="2"/>
        <v>13267</v>
      </c>
      <c r="N53" s="66">
        <f t="shared" si="2"/>
        <v>191857</v>
      </c>
    </row>
    <row r="55" spans="1:14" x14ac:dyDescent="0.25">
      <c r="A55" s="76" t="s">
        <v>86</v>
      </c>
      <c r="B55" s="77">
        <f t="shared" ref="B55:D55" si="3">+B4+B8+B5+B6</f>
        <v>3650</v>
      </c>
      <c r="C55" s="77">
        <f t="shared" si="3"/>
        <v>3500</v>
      </c>
      <c r="D55" s="77">
        <f t="shared" si="3"/>
        <v>4860</v>
      </c>
      <c r="E55" s="77">
        <f>+E4+E8+E5+E6</f>
        <v>4630</v>
      </c>
      <c r="F55" s="77">
        <f t="shared" ref="F55:N55" si="4">+F4+F8+F5+F6</f>
        <v>1420</v>
      </c>
      <c r="G55" s="77">
        <f t="shared" si="4"/>
        <v>3660</v>
      </c>
      <c r="H55" s="77">
        <f t="shared" si="4"/>
        <v>4720</v>
      </c>
      <c r="I55" s="77">
        <f t="shared" si="4"/>
        <v>4770</v>
      </c>
      <c r="J55" s="77">
        <f t="shared" si="4"/>
        <v>4140</v>
      </c>
      <c r="K55" s="77">
        <f t="shared" si="4"/>
        <v>4490</v>
      </c>
      <c r="L55" s="77">
        <f t="shared" si="4"/>
        <v>4070</v>
      </c>
      <c r="M55" s="77">
        <f t="shared" si="4"/>
        <v>4120</v>
      </c>
      <c r="N55" s="77">
        <f t="shared" si="4"/>
        <v>48030</v>
      </c>
    </row>
    <row r="56" spans="1:14" x14ac:dyDescent="0.25">
      <c r="A56" s="76" t="s">
        <v>157</v>
      </c>
      <c r="B56" s="77">
        <f>+B12+B30</f>
        <v>2775</v>
      </c>
      <c r="C56" s="77">
        <f t="shared" ref="C56:M56" si="5">+C12+C30</f>
        <v>2400</v>
      </c>
      <c r="D56" s="77">
        <f t="shared" si="5"/>
        <v>3925</v>
      </c>
      <c r="E56" s="77">
        <f t="shared" si="5"/>
        <v>4300</v>
      </c>
      <c r="F56" s="77">
        <f t="shared" si="5"/>
        <v>7600</v>
      </c>
      <c r="G56" s="77">
        <f t="shared" si="5"/>
        <v>6275</v>
      </c>
      <c r="H56" s="77">
        <f t="shared" si="5"/>
        <v>5625</v>
      </c>
      <c r="I56" s="77">
        <f t="shared" si="5"/>
        <v>5850</v>
      </c>
      <c r="J56" s="77">
        <f t="shared" si="5"/>
        <v>4875</v>
      </c>
      <c r="K56" s="77">
        <f t="shared" si="5"/>
        <v>3575</v>
      </c>
      <c r="L56" s="77">
        <f t="shared" si="5"/>
        <v>3550</v>
      </c>
      <c r="M56" s="77">
        <f t="shared" si="5"/>
        <v>3625</v>
      </c>
      <c r="N56" s="77">
        <f>+N12+N30</f>
        <v>54375</v>
      </c>
    </row>
    <row r="57" spans="1:14" x14ac:dyDescent="0.25">
      <c r="A57" s="78" t="s">
        <v>50</v>
      </c>
      <c r="B57" s="77">
        <f>+B4+B7+B8+B9+B15+B16+B19+B20+B23+B24+B27+B28+B33+B34+B35+B36+B37+B38+B39+B40+B41+B42+B43+B44+B45+B46+B47+B48+B49+B50</f>
        <v>4569</v>
      </c>
      <c r="C57" s="77">
        <f t="shared" ref="C57:H57" si="6">+C4+C7+C8+C9+C15+C16+C19+C20+C23+C24+C27+C28+C33+C34+C35+C36+C37+C38+C39+C40+C41+C42+C43+C44+C45+C46+C47+C48+C49+C50</f>
        <v>4244</v>
      </c>
      <c r="D57" s="77">
        <f t="shared" si="6"/>
        <v>6012</v>
      </c>
      <c r="E57" s="77">
        <f t="shared" si="6"/>
        <v>6437</v>
      </c>
      <c r="F57" s="77">
        <f t="shared" si="6"/>
        <v>2693</v>
      </c>
      <c r="G57" s="77">
        <f t="shared" si="6"/>
        <v>4986</v>
      </c>
      <c r="H57" s="77">
        <f t="shared" si="6"/>
        <v>7759</v>
      </c>
      <c r="I57" s="77">
        <f>+I4+I7+I8+I9+I15+I16+I19+I20+I23+I24+I27+I28+I33+I34+I35+I36+I37+I38+I39+I40+I41+I42+I43+I44+I45+I46+I47+I48+I49+I50+I17</f>
        <v>7196</v>
      </c>
      <c r="J57" s="77">
        <f t="shared" ref="J57:N57" si="7">+J4+J7+J8+J9+J15+J16+J19+J20+J23+J24+J27+J28+J33+J34+J35+J36+J37+J38+J39+J40+J41+J42+J43+J44+J45+J46+J47+J48+J49+J50+J17</f>
        <v>5913</v>
      </c>
      <c r="K57" s="77">
        <f t="shared" si="7"/>
        <v>6006</v>
      </c>
      <c r="L57" s="77">
        <f t="shared" si="7"/>
        <v>5097</v>
      </c>
      <c r="M57" s="77">
        <f t="shared" si="7"/>
        <v>5362</v>
      </c>
      <c r="N57" s="77">
        <f t="shared" si="7"/>
        <v>66290</v>
      </c>
    </row>
    <row r="58" spans="1:14" x14ac:dyDescent="0.25">
      <c r="A58" s="78" t="s">
        <v>28</v>
      </c>
      <c r="B58" s="77">
        <f>SUM(B4:B50)-B22-B29-B21</f>
        <v>10862</v>
      </c>
      <c r="C58" s="77">
        <f t="shared" ref="C58:M58" si="8">SUM(C4:C50)-C22-C29-C21</f>
        <v>9874</v>
      </c>
      <c r="D58" s="77">
        <f t="shared" si="8"/>
        <v>14402</v>
      </c>
      <c r="E58" s="77">
        <f t="shared" si="8"/>
        <v>16121</v>
      </c>
      <c r="F58" s="77">
        <f t="shared" si="8"/>
        <v>14745</v>
      </c>
      <c r="G58" s="77">
        <f t="shared" si="8"/>
        <v>17193</v>
      </c>
      <c r="H58" s="77">
        <f t="shared" si="8"/>
        <v>22607</v>
      </c>
      <c r="I58" s="77">
        <f t="shared" si="8"/>
        <v>21444</v>
      </c>
      <c r="J58" s="77">
        <f t="shared" si="8"/>
        <v>16284</v>
      </c>
      <c r="K58" s="77">
        <f t="shared" si="8"/>
        <v>14114</v>
      </c>
      <c r="L58" s="77">
        <f t="shared" si="8"/>
        <v>12787</v>
      </c>
      <c r="M58" s="77">
        <f t="shared" si="8"/>
        <v>12539</v>
      </c>
      <c r="N58" s="77">
        <f>SUM(N4:N50)-N22-N29-N21</f>
        <v>182972</v>
      </c>
    </row>
    <row r="59" spans="1:14" x14ac:dyDescent="0.25">
      <c r="A59" s="78" t="s">
        <v>46</v>
      </c>
      <c r="B59" s="77">
        <f>SUM(B4:B50)-B22-B29-B51-B52-B21</f>
        <v>10136</v>
      </c>
      <c r="C59" s="77">
        <f t="shared" ref="C59:M59" si="9">SUM(C4:C50)-C22-C29-C51-C52-C21</f>
        <v>9223</v>
      </c>
      <c r="D59" s="77">
        <f t="shared" si="9"/>
        <v>13717</v>
      </c>
      <c r="E59" s="77">
        <f t="shared" si="9"/>
        <v>15425</v>
      </c>
      <c r="F59" s="77">
        <f t="shared" si="9"/>
        <v>13987</v>
      </c>
      <c r="G59" s="77">
        <f t="shared" si="9"/>
        <v>16468</v>
      </c>
      <c r="H59" s="77">
        <f t="shared" si="9"/>
        <v>21853</v>
      </c>
      <c r="I59" s="77">
        <f t="shared" si="9"/>
        <v>20690</v>
      </c>
      <c r="J59" s="77">
        <f t="shared" si="9"/>
        <v>15543</v>
      </c>
      <c r="K59" s="77">
        <f t="shared" si="9"/>
        <v>13370</v>
      </c>
      <c r="L59" s="77">
        <f t="shared" si="9"/>
        <v>12082</v>
      </c>
      <c r="M59" s="77">
        <f t="shared" si="9"/>
        <v>11824</v>
      </c>
      <c r="N59" s="77">
        <f>SUM(N4:N50)-N22-N29-N51-N52-N21</f>
        <v>174318</v>
      </c>
    </row>
    <row r="60" spans="1:14" x14ac:dyDescent="0.25">
      <c r="A60" s="78" t="s">
        <v>52</v>
      </c>
      <c r="B60" s="77">
        <f>+B10+B11+B12+B13+B14+B25+B26+B31+B32</f>
        <v>3056</v>
      </c>
      <c r="C60" s="77">
        <f t="shared" ref="C60:M60" si="10">+C10+C11+C12+C13+C14+C25+C26+C31+C32</f>
        <v>2865</v>
      </c>
      <c r="D60" s="77">
        <f t="shared" si="10"/>
        <v>4448</v>
      </c>
      <c r="E60" s="77">
        <f t="shared" si="10"/>
        <v>5209</v>
      </c>
      <c r="F60" s="77">
        <f t="shared" si="10"/>
        <v>7796</v>
      </c>
      <c r="G60" s="77">
        <f t="shared" si="10"/>
        <v>7623</v>
      </c>
      <c r="H60" s="77">
        <f t="shared" si="10"/>
        <v>9836</v>
      </c>
      <c r="I60" s="77">
        <f t="shared" si="10"/>
        <v>9067</v>
      </c>
      <c r="J60" s="77">
        <f t="shared" si="10"/>
        <v>5995</v>
      </c>
      <c r="K60" s="77">
        <f t="shared" si="10"/>
        <v>4353</v>
      </c>
      <c r="L60" s="77">
        <f t="shared" si="10"/>
        <v>3984</v>
      </c>
      <c r="M60" s="77">
        <f t="shared" si="10"/>
        <v>4020</v>
      </c>
      <c r="N60" s="77">
        <f>+N10+N11+N12+N13+N14+N25+N26+N31+N32</f>
        <v>68252</v>
      </c>
    </row>
    <row r="61" spans="1:14" x14ac:dyDescent="0.25">
      <c r="A61" s="79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</row>
    <row r="65" spans="1:14" x14ac:dyDescent="0.25">
      <c r="A65" s="76" t="s">
        <v>179</v>
      </c>
      <c r="B65" s="77">
        <f>+B4+B7+B8+B9+B5+B6</f>
        <v>3650</v>
      </c>
      <c r="C65" s="77">
        <f t="shared" ref="C65:N65" si="11">+C4+C7+C8+C9+C5+C6</f>
        <v>3500</v>
      </c>
      <c r="D65" s="77">
        <f t="shared" si="11"/>
        <v>4880</v>
      </c>
      <c r="E65" s="77">
        <f t="shared" si="11"/>
        <v>4670</v>
      </c>
      <c r="F65" s="77">
        <f t="shared" si="11"/>
        <v>1420</v>
      </c>
      <c r="G65" s="77">
        <f t="shared" si="11"/>
        <v>3660</v>
      </c>
      <c r="H65" s="77">
        <f t="shared" si="11"/>
        <v>4800</v>
      </c>
      <c r="I65" s="77">
        <f t="shared" si="11"/>
        <v>4790</v>
      </c>
      <c r="J65" s="77">
        <f t="shared" si="11"/>
        <v>4140</v>
      </c>
      <c r="K65" s="77">
        <f t="shared" si="11"/>
        <v>4530</v>
      </c>
      <c r="L65" s="77">
        <f t="shared" si="11"/>
        <v>4110</v>
      </c>
      <c r="M65" s="77">
        <f t="shared" si="11"/>
        <v>4120</v>
      </c>
      <c r="N65" s="77">
        <f t="shared" si="11"/>
        <v>48270</v>
      </c>
    </row>
    <row r="66" spans="1:14" x14ac:dyDescent="0.25">
      <c r="A66" s="76" t="s">
        <v>177</v>
      </c>
      <c r="B66" s="77">
        <f>+B15+B16+B23+B24</f>
        <v>2261</v>
      </c>
      <c r="C66" s="77">
        <f t="shared" ref="C66:N66" si="12">+C15+C16+C23+C24</f>
        <v>1973</v>
      </c>
      <c r="D66" s="77">
        <f t="shared" si="12"/>
        <v>2665</v>
      </c>
      <c r="E66" s="77">
        <f t="shared" si="12"/>
        <v>3247</v>
      </c>
      <c r="F66" s="77">
        <f t="shared" si="12"/>
        <v>1491</v>
      </c>
      <c r="G66" s="77">
        <f t="shared" si="12"/>
        <v>2428</v>
      </c>
      <c r="H66" s="77">
        <f t="shared" si="12"/>
        <v>4369</v>
      </c>
      <c r="I66" s="77">
        <f t="shared" si="12"/>
        <v>4031</v>
      </c>
      <c r="J66" s="77">
        <f t="shared" si="12"/>
        <v>3207</v>
      </c>
      <c r="K66" s="77">
        <f t="shared" si="12"/>
        <v>2896</v>
      </c>
      <c r="L66" s="77">
        <f t="shared" si="12"/>
        <v>2547</v>
      </c>
      <c r="M66" s="77">
        <f t="shared" si="12"/>
        <v>2398</v>
      </c>
      <c r="N66" s="77">
        <f t="shared" si="12"/>
        <v>33513</v>
      </c>
    </row>
    <row r="67" spans="1:14" x14ac:dyDescent="0.25">
      <c r="A67" s="78" t="s">
        <v>178</v>
      </c>
      <c r="B67" s="77">
        <f>+B19+B20+B27+B28</f>
        <v>3</v>
      </c>
      <c r="C67" s="77">
        <f t="shared" ref="C67:N67" si="13">+C19+C20+C27+C28</f>
        <v>2</v>
      </c>
      <c r="D67" s="77">
        <f t="shared" si="13"/>
        <v>4</v>
      </c>
      <c r="E67" s="77">
        <f t="shared" si="13"/>
        <v>9</v>
      </c>
      <c r="F67" s="77">
        <f t="shared" si="13"/>
        <v>13</v>
      </c>
      <c r="G67" s="77">
        <f t="shared" si="13"/>
        <v>14</v>
      </c>
      <c r="H67" s="77">
        <f t="shared" si="13"/>
        <v>61</v>
      </c>
      <c r="I67" s="77">
        <f t="shared" si="13"/>
        <v>26</v>
      </c>
      <c r="J67" s="77">
        <f t="shared" si="13"/>
        <v>17</v>
      </c>
      <c r="K67" s="77">
        <f t="shared" si="13"/>
        <v>13</v>
      </c>
      <c r="L67" s="77">
        <f t="shared" si="13"/>
        <v>1</v>
      </c>
      <c r="M67" s="77">
        <f t="shared" si="13"/>
        <v>2</v>
      </c>
      <c r="N67" s="77">
        <f t="shared" si="13"/>
        <v>165</v>
      </c>
    </row>
    <row r="68" spans="1:14" x14ac:dyDescent="0.25">
      <c r="A68" s="78" t="s">
        <v>180</v>
      </c>
      <c r="B68" s="77">
        <f>+B33+B34+B35+B36+B37+B38+B39+B40+B41+B42+B43+B44+B45+B46+B47+B48+B49+B50</f>
        <v>475</v>
      </c>
      <c r="C68" s="77">
        <f t="shared" ref="C68:H68" si="14">+C33+C34+C35+C36+C37+C38+C39+C40+C41+C42+C43+C44+C45+C46+C47+C48+C49+C50</f>
        <v>409</v>
      </c>
      <c r="D68" s="77">
        <f t="shared" si="14"/>
        <v>553</v>
      </c>
      <c r="E68" s="77">
        <f t="shared" si="14"/>
        <v>611</v>
      </c>
      <c r="F68" s="77">
        <f t="shared" si="14"/>
        <v>349</v>
      </c>
      <c r="G68" s="77">
        <f t="shared" si="14"/>
        <v>364</v>
      </c>
      <c r="H68" s="77">
        <f t="shared" si="14"/>
        <v>639</v>
      </c>
      <c r="I68" s="77">
        <f>+I33+I34+I35+I36+I37+I38+I39+I40+I41+I42+I43+I44+I45+I46+I47+I48+I49+I50+I17</f>
        <v>579</v>
      </c>
      <c r="J68" s="77">
        <f t="shared" ref="J68:N68" si="15">+J33+J34+J35+J36+J37+J38+J39+J40+J41+J42+J43+J44+J45+J46+J47+J48+J49+J50+J17</f>
        <v>549</v>
      </c>
      <c r="K68" s="77">
        <f t="shared" si="15"/>
        <v>547</v>
      </c>
      <c r="L68" s="77">
        <f t="shared" si="15"/>
        <v>419</v>
      </c>
      <c r="M68" s="77">
        <f t="shared" si="15"/>
        <v>472</v>
      </c>
      <c r="N68" s="77">
        <f t="shared" si="15"/>
        <v>5982</v>
      </c>
    </row>
    <row r="69" spans="1:14" x14ac:dyDescent="0.25">
      <c r="A69" s="78" t="s">
        <v>157</v>
      </c>
      <c r="B69" s="77">
        <f>+B12+B30</f>
        <v>2775</v>
      </c>
      <c r="C69" s="77">
        <f t="shared" ref="C69:N69" si="16">+C12+C30</f>
        <v>2400</v>
      </c>
      <c r="D69" s="77">
        <f t="shared" si="16"/>
        <v>3925</v>
      </c>
      <c r="E69" s="77">
        <f t="shared" si="16"/>
        <v>4300</v>
      </c>
      <c r="F69" s="77">
        <f t="shared" si="16"/>
        <v>7600</v>
      </c>
      <c r="G69" s="77">
        <f t="shared" si="16"/>
        <v>6275</v>
      </c>
      <c r="H69" s="77">
        <f t="shared" si="16"/>
        <v>5625</v>
      </c>
      <c r="I69" s="77">
        <f t="shared" si="16"/>
        <v>5850</v>
      </c>
      <c r="J69" s="77">
        <f t="shared" si="16"/>
        <v>4875</v>
      </c>
      <c r="K69" s="77">
        <f t="shared" si="16"/>
        <v>3575</v>
      </c>
      <c r="L69" s="77">
        <f t="shared" si="16"/>
        <v>3550</v>
      </c>
      <c r="M69" s="77">
        <f t="shared" si="16"/>
        <v>3625</v>
      </c>
      <c r="N69" s="77">
        <f t="shared" si="16"/>
        <v>54375</v>
      </c>
    </row>
    <row r="70" spans="1:14" x14ac:dyDescent="0.25">
      <c r="A70" s="78" t="s">
        <v>181</v>
      </c>
      <c r="B70" s="77">
        <f>+B13+B14+B25+B26</f>
        <v>1681</v>
      </c>
      <c r="C70" s="77">
        <f t="shared" ref="C70:N70" si="17">+C13+C14+C25+C26</f>
        <v>1590</v>
      </c>
      <c r="D70" s="77">
        <f t="shared" si="17"/>
        <v>2373</v>
      </c>
      <c r="E70" s="77">
        <f t="shared" si="17"/>
        <v>3284</v>
      </c>
      <c r="F70" s="77">
        <f t="shared" si="17"/>
        <v>3871</v>
      </c>
      <c r="G70" s="77">
        <f t="shared" si="17"/>
        <v>4448</v>
      </c>
      <c r="H70" s="77">
        <f t="shared" si="17"/>
        <v>7111</v>
      </c>
      <c r="I70" s="77">
        <f t="shared" si="17"/>
        <v>6167</v>
      </c>
      <c r="J70" s="77">
        <f t="shared" si="17"/>
        <v>3495</v>
      </c>
      <c r="K70" s="77">
        <f t="shared" si="17"/>
        <v>2553</v>
      </c>
      <c r="L70" s="77">
        <f t="shared" si="17"/>
        <v>2159</v>
      </c>
      <c r="M70" s="77">
        <f t="shared" si="17"/>
        <v>1920</v>
      </c>
      <c r="N70" s="77">
        <f t="shared" si="17"/>
        <v>40652</v>
      </c>
    </row>
    <row r="71" spans="1:14" x14ac:dyDescent="0.25">
      <c r="A71" s="78" t="s">
        <v>182</v>
      </c>
      <c r="B71" s="77">
        <f>+B10+B11+B31+B32</f>
        <v>0</v>
      </c>
      <c r="C71" s="77">
        <f t="shared" ref="C71:N71" si="18">+C10+C11+C31+C32</f>
        <v>0</v>
      </c>
      <c r="D71" s="77">
        <f t="shared" si="18"/>
        <v>0</v>
      </c>
      <c r="E71" s="77">
        <f t="shared" si="18"/>
        <v>0</v>
      </c>
      <c r="F71" s="77">
        <f t="shared" si="18"/>
        <v>0</v>
      </c>
      <c r="G71" s="77">
        <f t="shared" si="18"/>
        <v>0</v>
      </c>
      <c r="H71" s="77">
        <f t="shared" si="18"/>
        <v>0</v>
      </c>
      <c r="I71" s="77">
        <f t="shared" si="18"/>
        <v>0</v>
      </c>
      <c r="J71" s="77">
        <f t="shared" si="18"/>
        <v>0</v>
      </c>
      <c r="K71" s="77">
        <f t="shared" si="18"/>
        <v>0</v>
      </c>
      <c r="L71" s="77">
        <f t="shared" si="18"/>
        <v>0</v>
      </c>
      <c r="M71" s="77">
        <f t="shared" si="18"/>
        <v>0</v>
      </c>
      <c r="N71" s="77">
        <f t="shared" si="18"/>
        <v>0</v>
      </c>
    </row>
  </sheetData>
  <pageMargins left="0.7" right="0.7" top="0.75" bottom="0.75" header="0.3" footer="0.3"/>
  <pageSetup scale="61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O42"/>
  <sheetViews>
    <sheetView workbookViewId="0">
      <pane xSplit="1" ySplit="3" topLeftCell="H19" activePane="bottomRight" state="frozen"/>
      <selection activeCell="A19" sqref="A19"/>
      <selection pane="topRight" activeCell="A19" sqref="A19"/>
      <selection pane="bottomLeft" activeCell="A19" sqref="A19"/>
      <selection pane="bottomRight" activeCell="M35" sqref="M35"/>
    </sheetView>
  </sheetViews>
  <sheetFormatPr defaultColWidth="9.75" defaultRowHeight="16.2" x14ac:dyDescent="0.25"/>
  <cols>
    <col min="1" max="1" width="18.9140625" style="11" customWidth="1"/>
    <col min="2" max="13" width="6.75" style="11" customWidth="1"/>
    <col min="14" max="16384" width="9.75" style="11"/>
  </cols>
  <sheetData>
    <row r="1" spans="1:15" ht="18.600000000000001" x14ac:dyDescent="0.25">
      <c r="A1" s="10" t="s">
        <v>43</v>
      </c>
    </row>
    <row r="3" spans="1:15" ht="16.8" x14ac:dyDescent="0.25">
      <c r="A3" s="12" t="s">
        <v>1</v>
      </c>
      <c r="B3" s="13" t="s">
        <v>29</v>
      </c>
      <c r="C3" s="13" t="s">
        <v>30</v>
      </c>
      <c r="D3" s="13" t="s">
        <v>31</v>
      </c>
      <c r="E3" s="13" t="s">
        <v>32</v>
      </c>
      <c r="F3" s="13" t="s">
        <v>33</v>
      </c>
      <c r="G3" s="13" t="s">
        <v>34</v>
      </c>
      <c r="H3" s="13" t="s">
        <v>35</v>
      </c>
      <c r="I3" s="13" t="s">
        <v>36</v>
      </c>
      <c r="J3" s="13" t="s">
        <v>37</v>
      </c>
      <c r="K3" s="13" t="s">
        <v>38</v>
      </c>
      <c r="L3" s="13" t="s">
        <v>39</v>
      </c>
      <c r="M3" s="13" t="s">
        <v>40</v>
      </c>
      <c r="N3" s="14" t="s">
        <v>41</v>
      </c>
      <c r="O3" s="15"/>
    </row>
    <row r="4" spans="1:15" x14ac:dyDescent="0.25">
      <c r="A4" s="12" t="s">
        <v>2</v>
      </c>
      <c r="B4" s="9">
        <f>13*46</f>
        <v>598</v>
      </c>
      <c r="C4" s="9">
        <f>34*13</f>
        <v>442</v>
      </c>
      <c r="D4" s="9">
        <f>52*13</f>
        <v>676</v>
      </c>
      <c r="E4" s="9">
        <f>52*13</f>
        <v>676</v>
      </c>
      <c r="F4" s="9">
        <f>74*13</f>
        <v>962</v>
      </c>
      <c r="G4" s="9">
        <f>42*13</f>
        <v>546</v>
      </c>
      <c r="H4" s="9">
        <v>1131</v>
      </c>
      <c r="I4" s="9">
        <v>858</v>
      </c>
      <c r="J4" s="9">
        <v>611</v>
      </c>
      <c r="K4" s="9">
        <v>572</v>
      </c>
      <c r="L4" s="9">
        <v>559</v>
      </c>
      <c r="M4" s="9">
        <v>481</v>
      </c>
      <c r="N4" s="9">
        <f t="shared" ref="N4:N29" si="0">SUM(B4:M4)</f>
        <v>8112</v>
      </c>
      <c r="O4" s="15"/>
    </row>
    <row r="5" spans="1:15" x14ac:dyDescent="0.25">
      <c r="A5" s="12" t="s">
        <v>3</v>
      </c>
      <c r="B5" s="9">
        <f>215*25</f>
        <v>5375</v>
      </c>
      <c r="C5" s="9">
        <f>198*25</f>
        <v>4950</v>
      </c>
      <c r="D5" s="9">
        <f>270*25</f>
        <v>6750</v>
      </c>
      <c r="E5" s="9">
        <f>286*25</f>
        <v>7150</v>
      </c>
      <c r="F5" s="9">
        <f>249*25</f>
        <v>6225</v>
      </c>
      <c r="G5" s="9">
        <f>153*25</f>
        <v>3825</v>
      </c>
      <c r="H5" s="9">
        <v>6875</v>
      </c>
      <c r="I5" s="9">
        <v>5850</v>
      </c>
      <c r="J5" s="9">
        <v>5875</v>
      </c>
      <c r="K5" s="9">
        <v>5550</v>
      </c>
      <c r="L5" s="9">
        <v>5500</v>
      </c>
      <c r="M5" s="9">
        <v>6425</v>
      </c>
      <c r="N5" s="9">
        <f t="shared" si="0"/>
        <v>70350</v>
      </c>
      <c r="O5" s="15"/>
    </row>
    <row r="6" spans="1:15" x14ac:dyDescent="0.25">
      <c r="A6" s="12" t="s">
        <v>4</v>
      </c>
      <c r="B6" s="9">
        <f>105*25</f>
        <v>2625</v>
      </c>
      <c r="C6" s="9">
        <f>79*25</f>
        <v>1975</v>
      </c>
      <c r="D6" s="9">
        <f>124*25</f>
        <v>3100</v>
      </c>
      <c r="E6" s="9">
        <f>133*25</f>
        <v>3325</v>
      </c>
      <c r="F6" s="9">
        <f>149*25</f>
        <v>3725</v>
      </c>
      <c r="G6" s="9">
        <f>261*25</f>
        <v>6525</v>
      </c>
      <c r="H6" s="9">
        <v>4225</v>
      </c>
      <c r="I6" s="9">
        <v>4550</v>
      </c>
      <c r="J6" s="9">
        <v>3300</v>
      </c>
      <c r="K6" s="9">
        <v>2700</v>
      </c>
      <c r="L6" s="9">
        <v>2950</v>
      </c>
      <c r="M6" s="9">
        <v>2500</v>
      </c>
      <c r="N6" s="9">
        <f t="shared" si="0"/>
        <v>41500</v>
      </c>
      <c r="O6" s="15"/>
    </row>
    <row r="7" spans="1:15" x14ac:dyDescent="0.25">
      <c r="A7" s="12" t="s">
        <v>5</v>
      </c>
      <c r="B7" s="9">
        <v>962</v>
      </c>
      <c r="C7" s="9">
        <v>915</v>
      </c>
      <c r="D7" s="9">
        <v>1262</v>
      </c>
      <c r="E7" s="9">
        <v>1558</v>
      </c>
      <c r="F7" s="9">
        <v>2123</v>
      </c>
      <c r="G7" s="9">
        <v>2535</v>
      </c>
      <c r="H7" s="9">
        <v>3574</v>
      </c>
      <c r="I7" s="9">
        <v>3357</v>
      </c>
      <c r="J7" s="9">
        <v>2264</v>
      </c>
      <c r="K7" s="9">
        <v>1691</v>
      </c>
      <c r="L7" s="9">
        <v>1307</v>
      </c>
      <c r="M7" s="9">
        <v>1309</v>
      </c>
      <c r="N7" s="9">
        <f t="shared" si="0"/>
        <v>22857</v>
      </c>
      <c r="O7" s="15"/>
    </row>
    <row r="8" spans="1:15" x14ac:dyDescent="0.25">
      <c r="A8" s="12" t="s">
        <v>6</v>
      </c>
      <c r="B8" s="9">
        <v>320</v>
      </c>
      <c r="C8" s="9">
        <v>415</v>
      </c>
      <c r="D8" s="9">
        <v>406</v>
      </c>
      <c r="E8" s="9">
        <v>618</v>
      </c>
      <c r="F8" s="9">
        <v>770</v>
      </c>
      <c r="G8" s="9">
        <v>602</v>
      </c>
      <c r="H8" s="9">
        <v>1654</v>
      </c>
      <c r="I8" s="9">
        <v>1398</v>
      </c>
      <c r="J8" s="9">
        <v>686</v>
      </c>
      <c r="K8" s="9">
        <v>478</v>
      </c>
      <c r="L8" s="9">
        <v>449</v>
      </c>
      <c r="M8" s="9">
        <v>555</v>
      </c>
      <c r="N8" s="9">
        <f t="shared" si="0"/>
        <v>8351</v>
      </c>
      <c r="O8" s="15"/>
    </row>
    <row r="9" spans="1:15" x14ac:dyDescent="0.25">
      <c r="A9" s="12" t="s">
        <v>7</v>
      </c>
      <c r="B9" s="9">
        <v>847</v>
      </c>
      <c r="C9" s="9">
        <v>875</v>
      </c>
      <c r="D9" s="9">
        <v>1102</v>
      </c>
      <c r="E9" s="9">
        <v>1414</v>
      </c>
      <c r="F9" s="9">
        <v>1676</v>
      </c>
      <c r="G9" s="9">
        <v>848</v>
      </c>
      <c r="H9" s="9">
        <v>2599</v>
      </c>
      <c r="I9" s="9">
        <v>2282</v>
      </c>
      <c r="J9" s="9">
        <v>1639</v>
      </c>
      <c r="K9" s="9">
        <v>1401</v>
      </c>
      <c r="L9" s="9">
        <v>1161</v>
      </c>
      <c r="M9" s="9">
        <v>1200</v>
      </c>
      <c r="N9" s="9">
        <f t="shared" si="0"/>
        <v>17044</v>
      </c>
      <c r="O9" s="15"/>
    </row>
    <row r="10" spans="1:15" x14ac:dyDescent="0.25">
      <c r="A10" s="12" t="s">
        <v>8</v>
      </c>
      <c r="B10" s="9">
        <v>0</v>
      </c>
      <c r="C10" s="9">
        <v>1</v>
      </c>
      <c r="D10" s="9">
        <v>2</v>
      </c>
      <c r="E10" s="9">
        <v>0</v>
      </c>
      <c r="F10" s="9">
        <v>8</v>
      </c>
      <c r="G10" s="9">
        <v>0</v>
      </c>
      <c r="H10" s="9">
        <v>1</v>
      </c>
      <c r="I10" s="9">
        <v>1</v>
      </c>
      <c r="J10" s="9">
        <v>5</v>
      </c>
      <c r="K10" s="9">
        <v>0</v>
      </c>
      <c r="L10" s="9">
        <v>1</v>
      </c>
      <c r="M10" s="9">
        <v>0</v>
      </c>
      <c r="N10" s="9">
        <f t="shared" si="0"/>
        <v>19</v>
      </c>
      <c r="O10" s="15"/>
    </row>
    <row r="11" spans="1:15" x14ac:dyDescent="0.25">
      <c r="A11" s="12" t="s">
        <v>9</v>
      </c>
      <c r="B11" s="9">
        <v>7</v>
      </c>
      <c r="C11" s="9">
        <v>9</v>
      </c>
      <c r="D11" s="9">
        <v>14</v>
      </c>
      <c r="E11" s="9">
        <v>13</v>
      </c>
      <c r="F11" s="9">
        <v>17</v>
      </c>
      <c r="G11" s="9">
        <v>21</v>
      </c>
      <c r="H11" s="9">
        <v>15</v>
      </c>
      <c r="I11" s="9">
        <v>14</v>
      </c>
      <c r="J11" s="9">
        <v>24</v>
      </c>
      <c r="K11" s="9">
        <v>11</v>
      </c>
      <c r="L11" s="9">
        <v>16</v>
      </c>
      <c r="M11" s="9">
        <v>13</v>
      </c>
      <c r="N11" s="9">
        <f t="shared" si="0"/>
        <v>174</v>
      </c>
      <c r="O11" s="15"/>
    </row>
    <row r="12" spans="1:15" x14ac:dyDescent="0.25">
      <c r="A12" s="12" t="s">
        <v>10</v>
      </c>
      <c r="B12" s="9">
        <v>3</v>
      </c>
      <c r="C12" s="9">
        <v>1</v>
      </c>
      <c r="D12" s="9">
        <v>11</v>
      </c>
      <c r="E12" s="9">
        <v>11</v>
      </c>
      <c r="F12" s="9">
        <v>17</v>
      </c>
      <c r="G12" s="9">
        <v>6</v>
      </c>
      <c r="H12" s="9">
        <v>14</v>
      </c>
      <c r="I12" s="9">
        <v>13</v>
      </c>
      <c r="J12" s="9">
        <v>17</v>
      </c>
      <c r="K12" s="9">
        <v>5</v>
      </c>
      <c r="L12" s="9">
        <v>2</v>
      </c>
      <c r="M12" s="9">
        <v>3</v>
      </c>
      <c r="N12" s="9">
        <f t="shared" si="0"/>
        <v>103</v>
      </c>
      <c r="O12" s="15"/>
    </row>
    <row r="13" spans="1:15" x14ac:dyDescent="0.25">
      <c r="A13" s="12" t="s">
        <v>11</v>
      </c>
      <c r="B13" s="9">
        <v>19</v>
      </c>
      <c r="C13" s="9">
        <v>15</v>
      </c>
      <c r="D13" s="9">
        <v>23</v>
      </c>
      <c r="E13" s="9">
        <v>17</v>
      </c>
      <c r="F13" s="9">
        <v>20</v>
      </c>
      <c r="G13" s="9">
        <v>12</v>
      </c>
      <c r="H13" s="9">
        <v>0</v>
      </c>
      <c r="I13" s="9">
        <v>0</v>
      </c>
      <c r="J13" s="9">
        <v>17</v>
      </c>
      <c r="K13" s="9">
        <v>20</v>
      </c>
      <c r="L13" s="16">
        <v>19</v>
      </c>
      <c r="M13" s="16">
        <v>13</v>
      </c>
      <c r="N13" s="9">
        <f t="shared" si="0"/>
        <v>175</v>
      </c>
      <c r="O13" s="15"/>
    </row>
    <row r="14" spans="1:15" x14ac:dyDescent="0.25">
      <c r="A14" s="12" t="s">
        <v>12</v>
      </c>
      <c r="B14" s="9">
        <v>0</v>
      </c>
      <c r="C14" s="9">
        <v>0</v>
      </c>
      <c r="D14" s="9">
        <v>101</v>
      </c>
      <c r="E14" s="9">
        <v>111</v>
      </c>
      <c r="F14" s="9">
        <v>477</v>
      </c>
      <c r="G14" s="9">
        <v>200</v>
      </c>
      <c r="H14" s="9">
        <v>196</v>
      </c>
      <c r="I14" s="9">
        <v>63</v>
      </c>
      <c r="J14" s="9">
        <v>280</v>
      </c>
      <c r="K14" s="9">
        <v>111</v>
      </c>
      <c r="L14" s="9">
        <v>509</v>
      </c>
      <c r="M14" s="9">
        <v>59</v>
      </c>
      <c r="N14" s="9">
        <f t="shared" si="0"/>
        <v>2107</v>
      </c>
      <c r="O14" s="15"/>
    </row>
    <row r="15" spans="1:15" x14ac:dyDescent="0.25">
      <c r="A15" s="12" t="s">
        <v>13</v>
      </c>
      <c r="B15" s="9">
        <v>640</v>
      </c>
      <c r="C15" s="9">
        <v>264</v>
      </c>
      <c r="D15" s="9">
        <v>605</v>
      </c>
      <c r="E15" s="9">
        <v>332</v>
      </c>
      <c r="F15" s="9">
        <v>652</v>
      </c>
      <c r="G15" s="9">
        <v>351</v>
      </c>
      <c r="H15" s="9">
        <v>0</v>
      </c>
      <c r="I15" s="9">
        <v>0</v>
      </c>
      <c r="J15" s="9">
        <v>480</v>
      </c>
      <c r="K15" s="9">
        <v>613</v>
      </c>
      <c r="L15" s="9">
        <v>502</v>
      </c>
      <c r="M15" s="9">
        <v>308</v>
      </c>
      <c r="N15" s="9">
        <f t="shared" si="0"/>
        <v>4747</v>
      </c>
      <c r="O15" s="15"/>
    </row>
    <row r="16" spans="1:15" x14ac:dyDescent="0.25">
      <c r="A16" s="12" t="s">
        <v>14</v>
      </c>
      <c r="B16" s="9">
        <v>0</v>
      </c>
      <c r="C16" s="9">
        <v>0</v>
      </c>
      <c r="D16" s="9">
        <v>0</v>
      </c>
      <c r="E16" s="9">
        <v>0</v>
      </c>
      <c r="F16" s="9">
        <v>2026</v>
      </c>
      <c r="G16" s="9">
        <v>1035</v>
      </c>
      <c r="H16" s="9">
        <v>2996</v>
      </c>
      <c r="I16" s="9">
        <v>2719</v>
      </c>
      <c r="J16" s="9">
        <v>2065</v>
      </c>
      <c r="K16" s="9">
        <v>0</v>
      </c>
      <c r="L16" s="9">
        <v>0</v>
      </c>
      <c r="M16" s="9">
        <v>0</v>
      </c>
      <c r="N16" s="9">
        <f t="shared" si="0"/>
        <v>10841</v>
      </c>
      <c r="O16" s="15"/>
    </row>
    <row r="17" spans="1:15" x14ac:dyDescent="0.25">
      <c r="A17" s="12" t="s">
        <v>15</v>
      </c>
      <c r="B17" s="9">
        <f>19*25</f>
        <v>475</v>
      </c>
      <c r="C17" s="9">
        <f>10*25</f>
        <v>250</v>
      </c>
      <c r="D17" s="9">
        <f>15*25</f>
        <v>375</v>
      </c>
      <c r="E17" s="9">
        <f>16*25</f>
        <v>400</v>
      </c>
      <c r="F17" s="9">
        <f>28*25</f>
        <v>700</v>
      </c>
      <c r="G17" s="9">
        <f>29*25</f>
        <v>725</v>
      </c>
      <c r="H17" s="9">
        <v>925</v>
      </c>
      <c r="I17" s="9">
        <v>1050</v>
      </c>
      <c r="J17" s="9">
        <v>300</v>
      </c>
      <c r="K17" s="9">
        <v>425</v>
      </c>
      <c r="L17" s="9">
        <v>350</v>
      </c>
      <c r="M17" s="9">
        <v>600</v>
      </c>
      <c r="N17" s="9">
        <f t="shared" si="0"/>
        <v>6575</v>
      </c>
      <c r="O17" s="15"/>
    </row>
    <row r="18" spans="1:15" x14ac:dyDescent="0.25">
      <c r="A18" s="12" t="s">
        <v>16</v>
      </c>
      <c r="B18" s="9">
        <v>9</v>
      </c>
      <c r="C18" s="9">
        <v>9</v>
      </c>
      <c r="D18" s="9">
        <v>21</v>
      </c>
      <c r="E18" s="9">
        <v>16</v>
      </c>
      <c r="F18" s="9">
        <v>21</v>
      </c>
      <c r="G18" s="9">
        <v>19</v>
      </c>
      <c r="H18" s="9">
        <v>33</v>
      </c>
      <c r="I18" s="9">
        <v>16</v>
      </c>
      <c r="J18" s="9">
        <v>16</v>
      </c>
      <c r="K18" s="9">
        <v>12</v>
      </c>
      <c r="L18" s="9">
        <v>18</v>
      </c>
      <c r="M18" s="9">
        <v>11</v>
      </c>
      <c r="N18" s="9">
        <f t="shared" si="0"/>
        <v>201</v>
      </c>
      <c r="O18" s="15"/>
    </row>
    <row r="19" spans="1:15" x14ac:dyDescent="0.25">
      <c r="A19" s="12" t="s">
        <v>17</v>
      </c>
      <c r="B19" s="9">
        <v>2</v>
      </c>
      <c r="C19" s="9">
        <v>3</v>
      </c>
      <c r="D19" s="9">
        <v>12</v>
      </c>
      <c r="E19" s="9">
        <v>27</v>
      </c>
      <c r="F19" s="9">
        <v>44</v>
      </c>
      <c r="G19" s="9">
        <v>24</v>
      </c>
      <c r="H19" s="9">
        <v>45</v>
      </c>
      <c r="I19" s="9">
        <v>31</v>
      </c>
      <c r="J19" s="9">
        <v>36</v>
      </c>
      <c r="K19" s="9">
        <v>34</v>
      </c>
      <c r="L19" s="9">
        <v>22</v>
      </c>
      <c r="M19" s="9">
        <v>15</v>
      </c>
      <c r="N19" s="9">
        <f t="shared" si="0"/>
        <v>295</v>
      </c>
      <c r="O19" s="15"/>
    </row>
    <row r="20" spans="1:15" x14ac:dyDescent="0.25">
      <c r="A20" s="12" t="s">
        <v>18</v>
      </c>
      <c r="B20" s="9">
        <v>79</v>
      </c>
      <c r="C20" s="9">
        <v>89</v>
      </c>
      <c r="D20" s="9">
        <v>96</v>
      </c>
      <c r="E20" s="9">
        <v>114</v>
      </c>
      <c r="F20" s="9">
        <v>121</v>
      </c>
      <c r="G20" s="9">
        <v>66</v>
      </c>
      <c r="H20" s="9">
        <v>178</v>
      </c>
      <c r="I20" s="9">
        <v>183</v>
      </c>
      <c r="J20" s="9">
        <v>154</v>
      </c>
      <c r="K20" s="9">
        <v>145</v>
      </c>
      <c r="L20" s="9">
        <v>120</v>
      </c>
      <c r="M20" s="9">
        <v>118</v>
      </c>
      <c r="N20" s="9">
        <f t="shared" si="0"/>
        <v>1463</v>
      </c>
      <c r="O20" s="15"/>
    </row>
    <row r="21" spans="1:15" x14ac:dyDescent="0.25">
      <c r="A21" s="12" t="s">
        <v>19</v>
      </c>
      <c r="B21" s="9">
        <v>34</v>
      </c>
      <c r="C21" s="9">
        <v>27</v>
      </c>
      <c r="D21" s="9">
        <v>44</v>
      </c>
      <c r="E21" s="9">
        <v>42</v>
      </c>
      <c r="F21" s="9">
        <v>101</v>
      </c>
      <c r="G21" s="9">
        <v>42</v>
      </c>
      <c r="H21" s="9">
        <v>78</v>
      </c>
      <c r="I21" s="9">
        <v>80</v>
      </c>
      <c r="J21" s="9">
        <v>94</v>
      </c>
      <c r="K21" s="9">
        <v>88</v>
      </c>
      <c r="L21" s="9">
        <v>73</v>
      </c>
      <c r="M21" s="9">
        <v>70</v>
      </c>
      <c r="N21" s="9">
        <f t="shared" si="0"/>
        <v>773</v>
      </c>
      <c r="O21" s="15"/>
    </row>
    <row r="22" spans="1:15" x14ac:dyDescent="0.25">
      <c r="A22" s="12" t="s">
        <v>20</v>
      </c>
      <c r="B22" s="9">
        <v>21</v>
      </c>
      <c r="C22" s="9">
        <v>14</v>
      </c>
      <c r="D22" s="9">
        <v>25</v>
      </c>
      <c r="E22" s="9">
        <v>31</v>
      </c>
      <c r="F22" s="9">
        <v>35</v>
      </c>
      <c r="G22" s="9">
        <v>21</v>
      </c>
      <c r="H22" s="9">
        <v>62</v>
      </c>
      <c r="I22" s="9">
        <v>52</v>
      </c>
      <c r="J22" s="9">
        <v>55</v>
      </c>
      <c r="K22" s="9">
        <v>33</v>
      </c>
      <c r="L22" s="9">
        <v>30</v>
      </c>
      <c r="M22" s="9">
        <v>23</v>
      </c>
      <c r="N22" s="9">
        <f t="shared" si="0"/>
        <v>402</v>
      </c>
      <c r="O22" s="15"/>
    </row>
    <row r="23" spans="1:15" x14ac:dyDescent="0.25">
      <c r="A23" s="12" t="s">
        <v>21</v>
      </c>
      <c r="B23" s="9">
        <v>12</v>
      </c>
      <c r="C23" s="9">
        <v>11</v>
      </c>
      <c r="D23" s="9">
        <v>57</v>
      </c>
      <c r="E23" s="9">
        <v>36</v>
      </c>
      <c r="F23" s="9">
        <v>20</v>
      </c>
      <c r="G23" s="9">
        <v>21</v>
      </c>
      <c r="H23" s="9">
        <v>39</v>
      </c>
      <c r="I23" s="9">
        <v>93</v>
      </c>
      <c r="J23" s="9">
        <v>51</v>
      </c>
      <c r="K23" s="9">
        <v>50</v>
      </c>
      <c r="L23" s="9">
        <v>28</v>
      </c>
      <c r="M23" s="9">
        <v>27</v>
      </c>
      <c r="N23" s="9">
        <f t="shared" si="0"/>
        <v>445</v>
      </c>
      <c r="O23" s="15"/>
    </row>
    <row r="24" spans="1:15" x14ac:dyDescent="0.25">
      <c r="A24" s="12" t="s">
        <v>22</v>
      </c>
      <c r="B24" s="9">
        <v>8</v>
      </c>
      <c r="C24" s="9">
        <v>7</v>
      </c>
      <c r="D24" s="9">
        <v>9</v>
      </c>
      <c r="E24" s="9">
        <v>14</v>
      </c>
      <c r="F24" s="9">
        <v>14</v>
      </c>
      <c r="G24" s="9">
        <v>13</v>
      </c>
      <c r="H24" s="9">
        <v>16</v>
      </c>
      <c r="I24" s="9">
        <v>13</v>
      </c>
      <c r="J24" s="9">
        <v>13</v>
      </c>
      <c r="K24" s="9">
        <v>9</v>
      </c>
      <c r="L24" s="9">
        <v>12</v>
      </c>
      <c r="M24" s="9">
        <v>8</v>
      </c>
      <c r="N24" s="9">
        <f t="shared" si="0"/>
        <v>136</v>
      </c>
      <c r="O24" s="15"/>
    </row>
    <row r="25" spans="1:15" x14ac:dyDescent="0.25">
      <c r="A25" s="12" t="s">
        <v>23</v>
      </c>
      <c r="B25" s="9">
        <v>3</v>
      </c>
      <c r="C25" s="9">
        <v>8</v>
      </c>
      <c r="D25" s="9">
        <v>7</v>
      </c>
      <c r="E25" s="9">
        <v>9</v>
      </c>
      <c r="F25" s="9">
        <v>13</v>
      </c>
      <c r="G25" s="9">
        <v>5</v>
      </c>
      <c r="H25" s="9">
        <v>5</v>
      </c>
      <c r="I25" s="9">
        <v>12</v>
      </c>
      <c r="J25" s="9">
        <v>28</v>
      </c>
      <c r="K25" s="9">
        <v>5</v>
      </c>
      <c r="L25" s="9">
        <v>7</v>
      </c>
      <c r="M25" s="9">
        <v>7</v>
      </c>
      <c r="N25" s="9">
        <f t="shared" si="0"/>
        <v>109</v>
      </c>
      <c r="O25" s="15"/>
    </row>
    <row r="26" spans="1:15" x14ac:dyDescent="0.25">
      <c r="A26" s="12" t="s">
        <v>24</v>
      </c>
      <c r="B26" s="9">
        <v>6</v>
      </c>
      <c r="C26" s="9">
        <v>4</v>
      </c>
      <c r="D26" s="9">
        <v>7</v>
      </c>
      <c r="E26" s="9">
        <v>16</v>
      </c>
      <c r="F26" s="9">
        <v>19</v>
      </c>
      <c r="G26" s="9">
        <v>7</v>
      </c>
      <c r="H26" s="9">
        <v>17</v>
      </c>
      <c r="I26" s="9">
        <v>12</v>
      </c>
      <c r="J26" s="9">
        <v>14</v>
      </c>
      <c r="K26" s="9">
        <v>11</v>
      </c>
      <c r="L26" s="9">
        <v>4</v>
      </c>
      <c r="M26" s="9">
        <v>1</v>
      </c>
      <c r="N26" s="9">
        <f t="shared" si="0"/>
        <v>118</v>
      </c>
      <c r="O26" s="15"/>
    </row>
    <row r="27" spans="1:15" x14ac:dyDescent="0.25">
      <c r="A27" s="12" t="s">
        <v>25</v>
      </c>
      <c r="B27" s="9">
        <v>3</v>
      </c>
      <c r="C27" s="9">
        <v>0</v>
      </c>
      <c r="D27" s="9">
        <v>4</v>
      </c>
      <c r="E27" s="9">
        <v>2</v>
      </c>
      <c r="F27" s="9">
        <v>38</v>
      </c>
      <c r="G27" s="9">
        <v>19</v>
      </c>
      <c r="H27" s="9">
        <v>18</v>
      </c>
      <c r="I27" s="9">
        <v>1</v>
      </c>
      <c r="J27" s="9">
        <v>26</v>
      </c>
      <c r="K27" s="9">
        <v>11</v>
      </c>
      <c r="L27" s="9">
        <v>72</v>
      </c>
      <c r="M27" s="9">
        <v>8</v>
      </c>
      <c r="N27" s="9">
        <f t="shared" si="0"/>
        <v>202</v>
      </c>
      <c r="O27" s="15"/>
    </row>
    <row r="28" spans="1:15" x14ac:dyDescent="0.25">
      <c r="A28" s="12" t="s">
        <v>26</v>
      </c>
      <c r="B28" s="9">
        <v>652</v>
      </c>
      <c r="C28" s="9">
        <v>581</v>
      </c>
      <c r="D28" s="9">
        <v>676</v>
      </c>
      <c r="E28" s="9">
        <v>694</v>
      </c>
      <c r="F28" s="9">
        <v>729</v>
      </c>
      <c r="G28" s="9">
        <v>664</v>
      </c>
      <c r="H28" s="9">
        <v>757</v>
      </c>
      <c r="I28" s="9">
        <v>749</v>
      </c>
      <c r="J28" s="9">
        <v>742</v>
      </c>
      <c r="K28" s="9">
        <v>702</v>
      </c>
      <c r="L28" s="16">
        <v>655</v>
      </c>
      <c r="M28" s="16">
        <v>679</v>
      </c>
      <c r="N28" s="9">
        <f t="shared" si="0"/>
        <v>8280</v>
      </c>
      <c r="O28" s="15"/>
    </row>
    <row r="29" spans="1:15" x14ac:dyDescent="0.25">
      <c r="A29" s="12" t="s">
        <v>27</v>
      </c>
      <c r="B29" s="9">
        <v>357</v>
      </c>
      <c r="C29" s="9">
        <v>255</v>
      </c>
      <c r="D29" s="9">
        <v>234</v>
      </c>
      <c r="E29" s="9">
        <v>302</v>
      </c>
      <c r="F29" s="9">
        <v>385</v>
      </c>
      <c r="G29" s="9">
        <v>197</v>
      </c>
      <c r="H29" s="9">
        <v>461</v>
      </c>
      <c r="I29" s="9">
        <v>457</v>
      </c>
      <c r="J29" s="9">
        <v>264</v>
      </c>
      <c r="K29" s="9">
        <v>230</v>
      </c>
      <c r="L29" s="9">
        <v>218</v>
      </c>
      <c r="M29" s="9">
        <v>217</v>
      </c>
      <c r="N29" s="9">
        <f t="shared" si="0"/>
        <v>3577</v>
      </c>
      <c r="O29" s="15"/>
    </row>
    <row r="30" spans="1:15" x14ac:dyDescent="0.25">
      <c r="A30" s="17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5"/>
    </row>
    <row r="31" spans="1:15" x14ac:dyDescent="0.25">
      <c r="A31" s="12" t="s">
        <v>50</v>
      </c>
      <c r="B31" s="30">
        <f>B4+B5+B9+B10+B11+B20+B21+B22+B23+B24+B25+B27+B12</f>
        <v>6990</v>
      </c>
      <c r="C31" s="30">
        <f t="shared" ref="C31:M31" si="1">C4+C5+C9+C10+C11+C20+C21+C22+C23+C24+C25+C27+C12</f>
        <v>6434</v>
      </c>
      <c r="D31" s="30">
        <f t="shared" si="1"/>
        <v>8797</v>
      </c>
      <c r="E31" s="30">
        <f t="shared" si="1"/>
        <v>9512</v>
      </c>
      <c r="F31" s="30">
        <f t="shared" si="1"/>
        <v>9247</v>
      </c>
      <c r="G31" s="30">
        <f t="shared" si="1"/>
        <v>5433</v>
      </c>
      <c r="H31" s="30">
        <f t="shared" si="1"/>
        <v>11031</v>
      </c>
      <c r="I31" s="30">
        <f t="shared" si="1"/>
        <v>9452</v>
      </c>
      <c r="J31" s="30">
        <f t="shared" si="1"/>
        <v>8592</v>
      </c>
      <c r="K31" s="30">
        <f t="shared" si="1"/>
        <v>7880</v>
      </c>
      <c r="L31" s="30">
        <f t="shared" si="1"/>
        <v>7581</v>
      </c>
      <c r="M31" s="30">
        <f t="shared" si="1"/>
        <v>8383</v>
      </c>
      <c r="N31" s="9">
        <f>SUM(B31:M31)</f>
        <v>99332</v>
      </c>
      <c r="O31" s="15"/>
    </row>
    <row r="32" spans="1:15" x14ac:dyDescent="0.25">
      <c r="A32" s="12" t="s">
        <v>28</v>
      </c>
      <c r="B32" s="30">
        <f>B4+B5+B6+B7+B8+B9+B10+B11+B12+B15+B17+B20+B21+B22+B23+B24+B25+B27+B29</f>
        <v>12369</v>
      </c>
      <c r="C32" s="30">
        <f t="shared" ref="C32:M32" si="2">C4+C5+C6+C7+C8+C9+C10+C11+C12+C15+C17+C20+C21+C22+C23+C24+C25+C27+C29</f>
        <v>10508</v>
      </c>
      <c r="D32" s="30">
        <f t="shared" si="2"/>
        <v>14779</v>
      </c>
      <c r="E32" s="30">
        <f t="shared" si="2"/>
        <v>16047</v>
      </c>
      <c r="F32" s="30">
        <f t="shared" si="2"/>
        <v>17602</v>
      </c>
      <c r="G32" s="30">
        <f t="shared" si="2"/>
        <v>16368</v>
      </c>
      <c r="H32" s="30">
        <f t="shared" si="2"/>
        <v>21870</v>
      </c>
      <c r="I32" s="30">
        <f t="shared" si="2"/>
        <v>20264</v>
      </c>
      <c r="J32" s="30">
        <f t="shared" si="2"/>
        <v>15886</v>
      </c>
      <c r="K32" s="30">
        <f t="shared" si="2"/>
        <v>14017</v>
      </c>
      <c r="L32" s="30">
        <f t="shared" si="2"/>
        <v>13357</v>
      </c>
      <c r="M32" s="30">
        <f t="shared" si="2"/>
        <v>13872</v>
      </c>
      <c r="N32" s="9">
        <f>SUM(B32:M32)</f>
        <v>186939</v>
      </c>
      <c r="O32" s="15"/>
    </row>
    <row r="33" spans="1:14" x14ac:dyDescent="0.25">
      <c r="A33" s="12" t="s">
        <v>46</v>
      </c>
      <c r="B33" s="30">
        <f>SUM(B4:B29)-B14-B16-B28-B29-B15</f>
        <v>11408</v>
      </c>
      <c r="C33" s="30">
        <f t="shared" ref="C33:M33" si="3">SUM(C4:C29)-C14-C16-C28-C29-C15</f>
        <v>10020</v>
      </c>
      <c r="D33" s="30">
        <f t="shared" si="3"/>
        <v>14003</v>
      </c>
      <c r="E33" s="30">
        <f t="shared" si="3"/>
        <v>15489</v>
      </c>
      <c r="F33" s="30">
        <f t="shared" si="3"/>
        <v>16669</v>
      </c>
      <c r="G33" s="30">
        <f t="shared" si="3"/>
        <v>15882</v>
      </c>
      <c r="H33" s="30">
        <f t="shared" si="3"/>
        <v>21504</v>
      </c>
      <c r="I33" s="30">
        <f t="shared" si="3"/>
        <v>19866</v>
      </c>
      <c r="J33" s="30">
        <f t="shared" si="3"/>
        <v>15225</v>
      </c>
      <c r="K33" s="30">
        <f t="shared" si="3"/>
        <v>13251</v>
      </c>
      <c r="L33" s="30">
        <f t="shared" si="3"/>
        <v>12700</v>
      </c>
      <c r="M33" s="30">
        <f t="shared" si="3"/>
        <v>13387</v>
      </c>
      <c r="N33" s="9">
        <f>SUM(B33:M33)</f>
        <v>179404</v>
      </c>
    </row>
    <row r="34" spans="1:14" x14ac:dyDescent="0.25">
      <c r="A34" s="12" t="s">
        <v>51</v>
      </c>
      <c r="B34" s="30">
        <f>+B29+B15</f>
        <v>997</v>
      </c>
      <c r="C34" s="30">
        <f t="shared" ref="C34:M34" si="4">+C29+C15</f>
        <v>519</v>
      </c>
      <c r="D34" s="30">
        <f t="shared" si="4"/>
        <v>839</v>
      </c>
      <c r="E34" s="30">
        <f t="shared" si="4"/>
        <v>634</v>
      </c>
      <c r="F34" s="30">
        <f t="shared" si="4"/>
        <v>1037</v>
      </c>
      <c r="G34" s="30">
        <f t="shared" si="4"/>
        <v>548</v>
      </c>
      <c r="H34" s="30">
        <f t="shared" si="4"/>
        <v>461</v>
      </c>
      <c r="I34" s="30">
        <f t="shared" si="4"/>
        <v>457</v>
      </c>
      <c r="J34" s="30">
        <f t="shared" si="4"/>
        <v>744</v>
      </c>
      <c r="K34" s="30">
        <f t="shared" si="4"/>
        <v>843</v>
      </c>
      <c r="L34" s="30">
        <f t="shared" si="4"/>
        <v>720</v>
      </c>
      <c r="M34" s="30">
        <f t="shared" si="4"/>
        <v>525</v>
      </c>
      <c r="N34" s="9">
        <f>SUM(B34:M34)</f>
        <v>8324</v>
      </c>
    </row>
    <row r="35" spans="1:14" x14ac:dyDescent="0.25">
      <c r="A35" s="12" t="s">
        <v>52</v>
      </c>
      <c r="B35" s="30">
        <f>+B6+B7+B8+B17+B29+B15</f>
        <v>5379</v>
      </c>
      <c r="C35" s="30">
        <f t="shared" ref="C35:L35" si="5">+C6+C7+C8+C17+C29+C15</f>
        <v>4074</v>
      </c>
      <c r="D35" s="30">
        <f t="shared" si="5"/>
        <v>5982</v>
      </c>
      <c r="E35" s="30">
        <f t="shared" si="5"/>
        <v>6535</v>
      </c>
      <c r="F35" s="30">
        <f t="shared" si="5"/>
        <v>8355</v>
      </c>
      <c r="G35" s="30">
        <f t="shared" si="5"/>
        <v>10935</v>
      </c>
      <c r="H35" s="30">
        <f t="shared" si="5"/>
        <v>10839</v>
      </c>
      <c r="I35" s="30">
        <f t="shared" si="5"/>
        <v>10812</v>
      </c>
      <c r="J35" s="30">
        <f t="shared" si="5"/>
        <v>7294</v>
      </c>
      <c r="K35" s="30">
        <f t="shared" si="5"/>
        <v>6137</v>
      </c>
      <c r="L35" s="30">
        <f t="shared" si="5"/>
        <v>5776</v>
      </c>
      <c r="M35" s="30">
        <f>+M6+M7+M8+M17+M29+M15</f>
        <v>5489</v>
      </c>
      <c r="N35" s="9">
        <f>SUM(B35:M35)</f>
        <v>87607</v>
      </c>
    </row>
    <row r="36" spans="1:14" x14ac:dyDescent="0.25">
      <c r="A36" s="15"/>
      <c r="B36" s="18">
        <f t="shared" ref="B36:N36" si="6">SUM(B4:B29)</f>
        <v>13057</v>
      </c>
      <c r="C36" s="18">
        <f t="shared" si="6"/>
        <v>11120</v>
      </c>
      <c r="D36" s="18">
        <f t="shared" si="6"/>
        <v>15619</v>
      </c>
      <c r="E36" s="18">
        <f t="shared" si="6"/>
        <v>16928</v>
      </c>
      <c r="F36" s="18">
        <f t="shared" si="6"/>
        <v>20938</v>
      </c>
      <c r="G36" s="18">
        <f t="shared" si="6"/>
        <v>18329</v>
      </c>
      <c r="H36" s="18">
        <f t="shared" si="6"/>
        <v>25914</v>
      </c>
      <c r="I36" s="18">
        <f t="shared" si="6"/>
        <v>23854</v>
      </c>
      <c r="J36" s="18">
        <f t="shared" si="6"/>
        <v>19056</v>
      </c>
      <c r="K36" s="18">
        <f t="shared" si="6"/>
        <v>14907</v>
      </c>
      <c r="L36" s="18">
        <f t="shared" si="6"/>
        <v>14584</v>
      </c>
      <c r="M36" s="18">
        <f t="shared" si="6"/>
        <v>14650</v>
      </c>
      <c r="N36" s="18">
        <f t="shared" si="6"/>
        <v>208956</v>
      </c>
    </row>
    <row r="37" spans="1:14" x14ac:dyDescent="0.25">
      <c r="A37" s="19"/>
    </row>
    <row r="39" spans="1:14" x14ac:dyDescent="0.25">
      <c r="A39" s="104" t="s">
        <v>47</v>
      </c>
      <c r="B39" s="104"/>
      <c r="C39" s="104"/>
      <c r="D39" s="104"/>
      <c r="E39" s="104"/>
      <c r="F39" s="104"/>
      <c r="G39" s="104"/>
      <c r="H39" s="104"/>
      <c r="I39" s="104"/>
    </row>
    <row r="40" spans="1:14" x14ac:dyDescent="0.25">
      <c r="A40" s="105" t="s">
        <v>48</v>
      </c>
      <c r="B40" s="105"/>
      <c r="C40" s="105"/>
      <c r="D40" s="105"/>
      <c r="E40" s="105"/>
      <c r="F40" s="105"/>
      <c r="G40" s="105"/>
      <c r="H40" s="105"/>
      <c r="I40" s="105"/>
    </row>
    <row r="41" spans="1:14" x14ac:dyDescent="0.25">
      <c r="A41" s="105" t="s">
        <v>53</v>
      </c>
      <c r="B41" s="105"/>
      <c r="C41" s="105"/>
      <c r="D41" s="105"/>
      <c r="E41" s="105"/>
      <c r="F41" s="105"/>
      <c r="G41" s="105"/>
      <c r="H41" s="105"/>
      <c r="I41" s="105"/>
    </row>
    <row r="42" spans="1:14" x14ac:dyDescent="0.25">
      <c r="A42" s="106" t="s">
        <v>49</v>
      </c>
      <c r="B42" s="106"/>
      <c r="C42" s="106"/>
      <c r="D42" s="106"/>
      <c r="E42" s="106"/>
      <c r="F42" s="106"/>
      <c r="G42" s="106"/>
      <c r="H42" s="106"/>
      <c r="I42" s="106"/>
    </row>
  </sheetData>
  <mergeCells count="4">
    <mergeCell ref="A39:I39"/>
    <mergeCell ref="A40:I40"/>
    <mergeCell ref="A41:I41"/>
    <mergeCell ref="A42:I42"/>
  </mergeCells>
  <phoneticPr fontId="0" type="noConversion"/>
  <pageMargins left="0.75" right="0.75" top="1" bottom="1" header="0.5" footer="0.5"/>
  <pageSetup scale="74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O42"/>
  <sheetViews>
    <sheetView workbookViewId="0">
      <pane xSplit="1" ySplit="3" topLeftCell="H17" activePane="bottomRight" state="frozen"/>
      <selection activeCell="A19" sqref="A19"/>
      <selection pane="topRight" activeCell="A19" sqref="A19"/>
      <selection pane="bottomLeft" activeCell="A19" sqref="A19"/>
      <selection pane="bottomRight" activeCell="M35" sqref="M35"/>
    </sheetView>
  </sheetViews>
  <sheetFormatPr defaultColWidth="9.75" defaultRowHeight="16.2" x14ac:dyDescent="0.25"/>
  <cols>
    <col min="1" max="1" width="21.75" style="11" customWidth="1"/>
    <col min="2" max="13" width="6.75" style="11" customWidth="1"/>
    <col min="14" max="16384" width="9.75" style="11"/>
  </cols>
  <sheetData>
    <row r="1" spans="1:15" ht="18.600000000000001" x14ac:dyDescent="0.25">
      <c r="A1" s="10" t="s">
        <v>42</v>
      </c>
    </row>
    <row r="3" spans="1:15" ht="16.8" x14ac:dyDescent="0.25">
      <c r="A3" s="12" t="s">
        <v>1</v>
      </c>
      <c r="B3" s="13" t="s">
        <v>29</v>
      </c>
      <c r="C3" s="13" t="s">
        <v>30</v>
      </c>
      <c r="D3" s="13" t="s">
        <v>31</v>
      </c>
      <c r="E3" s="13" t="s">
        <v>32</v>
      </c>
      <c r="F3" s="13" t="s">
        <v>33</v>
      </c>
      <c r="G3" s="13" t="s">
        <v>34</v>
      </c>
      <c r="H3" s="13" t="s">
        <v>35</v>
      </c>
      <c r="I3" s="13" t="s">
        <v>36</v>
      </c>
      <c r="J3" s="13" t="s">
        <v>37</v>
      </c>
      <c r="K3" s="13" t="s">
        <v>38</v>
      </c>
      <c r="L3" s="13" t="s">
        <v>39</v>
      </c>
      <c r="M3" s="13" t="s">
        <v>40</v>
      </c>
      <c r="N3" s="14" t="s">
        <v>41</v>
      </c>
      <c r="O3" s="15"/>
    </row>
    <row r="4" spans="1:15" x14ac:dyDescent="0.25">
      <c r="A4" s="12" t="s">
        <v>2</v>
      </c>
      <c r="B4" s="9">
        <f>40*13</f>
        <v>520</v>
      </c>
      <c r="C4" s="9">
        <f>38*13</f>
        <v>494</v>
      </c>
      <c r="D4" s="9">
        <f>53*13</f>
        <v>689</v>
      </c>
      <c r="E4" s="9">
        <f>50*13</f>
        <v>650</v>
      </c>
      <c r="F4" s="9">
        <f>63*13</f>
        <v>819</v>
      </c>
      <c r="G4" s="9">
        <f>59*13</f>
        <v>767</v>
      </c>
      <c r="H4" s="9">
        <f>71*13</f>
        <v>923</v>
      </c>
      <c r="I4" s="9">
        <f>70*13</f>
        <v>910</v>
      </c>
      <c r="J4" s="9">
        <f>45*13</f>
        <v>585</v>
      </c>
      <c r="K4" s="9">
        <f>51*13</f>
        <v>663</v>
      </c>
      <c r="L4" s="9">
        <f>30*13</f>
        <v>390</v>
      </c>
      <c r="M4" s="9">
        <f>42*13</f>
        <v>546</v>
      </c>
      <c r="N4" s="9">
        <f t="shared" ref="N4:N29" si="0">SUM(B4:M4)</f>
        <v>7956</v>
      </c>
      <c r="O4" s="15"/>
    </row>
    <row r="5" spans="1:15" x14ac:dyDescent="0.25">
      <c r="A5" s="12" t="s">
        <v>3</v>
      </c>
      <c r="B5" s="9">
        <f>219*25</f>
        <v>5475</v>
      </c>
      <c r="C5" s="9">
        <f>228*25</f>
        <v>5700</v>
      </c>
      <c r="D5" s="9">
        <f>249*25</f>
        <v>6225</v>
      </c>
      <c r="E5" s="9">
        <f>268*25</f>
        <v>6700</v>
      </c>
      <c r="F5" s="9">
        <f>290*25</f>
        <v>7250</v>
      </c>
      <c r="G5" s="9">
        <f>289*25</f>
        <v>7225</v>
      </c>
      <c r="H5" s="9">
        <f>253*25</f>
        <v>6325</v>
      </c>
      <c r="I5" s="9">
        <f>244*25</f>
        <v>6100</v>
      </c>
      <c r="J5" s="9">
        <f>227*25</f>
        <v>5675</v>
      </c>
      <c r="K5" s="9">
        <f>247*25</f>
        <v>6175</v>
      </c>
      <c r="L5" s="9">
        <f>216*25</f>
        <v>5400</v>
      </c>
      <c r="M5" s="9">
        <f>238*25</f>
        <v>5950</v>
      </c>
      <c r="N5" s="9">
        <f t="shared" si="0"/>
        <v>74200</v>
      </c>
      <c r="O5" s="15"/>
    </row>
    <row r="6" spans="1:15" x14ac:dyDescent="0.25">
      <c r="A6" s="12" t="s">
        <v>4</v>
      </c>
      <c r="B6" s="9">
        <f>102*25</f>
        <v>2550</v>
      </c>
      <c r="C6" s="9">
        <f>87*25</f>
        <v>2175</v>
      </c>
      <c r="D6" s="9">
        <f>119*25</f>
        <v>2975</v>
      </c>
      <c r="E6" s="9">
        <f>128*25</f>
        <v>3200</v>
      </c>
      <c r="F6" s="9">
        <f>143*25</f>
        <v>3575</v>
      </c>
      <c r="G6" s="9">
        <f>135*25</f>
        <v>3375</v>
      </c>
      <c r="H6" s="9">
        <f>192*25</f>
        <v>4800</v>
      </c>
      <c r="I6" s="9">
        <f>180*25</f>
        <v>4500</v>
      </c>
      <c r="J6" s="9">
        <f>115*25</f>
        <v>2875</v>
      </c>
      <c r="K6" s="9">
        <f>128*25</f>
        <v>3200</v>
      </c>
      <c r="L6" s="9">
        <f>116*25</f>
        <v>2900</v>
      </c>
      <c r="M6" s="9">
        <f>92*25</f>
        <v>2300</v>
      </c>
      <c r="N6" s="9">
        <f t="shared" si="0"/>
        <v>38425</v>
      </c>
      <c r="O6" s="15"/>
    </row>
    <row r="7" spans="1:15" x14ac:dyDescent="0.25">
      <c r="A7" s="12" t="s">
        <v>5</v>
      </c>
      <c r="B7" s="9">
        <v>851</v>
      </c>
      <c r="C7" s="9">
        <v>1013</v>
      </c>
      <c r="D7" s="9">
        <v>1243</v>
      </c>
      <c r="E7" s="9">
        <v>1481</v>
      </c>
      <c r="F7" s="9">
        <v>2061</v>
      </c>
      <c r="G7" s="9">
        <v>2243</v>
      </c>
      <c r="H7" s="9">
        <v>3475</v>
      </c>
      <c r="I7" s="9">
        <v>3603</v>
      </c>
      <c r="J7" s="9">
        <v>2248</v>
      </c>
      <c r="K7" s="9">
        <v>1576</v>
      </c>
      <c r="L7" s="9">
        <v>1243</v>
      </c>
      <c r="M7" s="9">
        <v>1102</v>
      </c>
      <c r="N7" s="9">
        <f t="shared" si="0"/>
        <v>22139</v>
      </c>
      <c r="O7" s="15"/>
    </row>
    <row r="8" spans="1:15" x14ac:dyDescent="0.25">
      <c r="A8" s="12" t="s">
        <v>6</v>
      </c>
      <c r="B8" s="9">
        <v>382</v>
      </c>
      <c r="C8" s="9">
        <v>428</v>
      </c>
      <c r="D8" s="9">
        <v>403</v>
      </c>
      <c r="E8" s="9">
        <v>554</v>
      </c>
      <c r="F8" s="9">
        <v>708</v>
      </c>
      <c r="G8" s="9">
        <v>797</v>
      </c>
      <c r="H8" s="9">
        <v>1585</v>
      </c>
      <c r="I8" s="9">
        <v>1599</v>
      </c>
      <c r="J8" s="9">
        <v>702</v>
      </c>
      <c r="K8" s="9">
        <v>388</v>
      </c>
      <c r="L8" s="9">
        <v>451</v>
      </c>
      <c r="M8" s="9">
        <v>466</v>
      </c>
      <c r="N8" s="9">
        <f t="shared" si="0"/>
        <v>8463</v>
      </c>
      <c r="O8" s="15"/>
    </row>
    <row r="9" spans="1:15" x14ac:dyDescent="0.25">
      <c r="A9" s="12" t="s">
        <v>7</v>
      </c>
      <c r="B9" s="9">
        <v>721</v>
      </c>
      <c r="C9" s="9">
        <v>849</v>
      </c>
      <c r="D9" s="9">
        <v>1051</v>
      </c>
      <c r="E9" s="9">
        <v>1241</v>
      </c>
      <c r="F9" s="9">
        <v>1566</v>
      </c>
      <c r="G9" s="9">
        <v>1542</v>
      </c>
      <c r="H9" s="9">
        <v>2364</v>
      </c>
      <c r="I9" s="9">
        <v>2363</v>
      </c>
      <c r="J9" s="9">
        <v>1620</v>
      </c>
      <c r="K9" s="9">
        <v>1260</v>
      </c>
      <c r="L9" s="9">
        <v>1074</v>
      </c>
      <c r="M9" s="9">
        <v>1026</v>
      </c>
      <c r="N9" s="9">
        <f t="shared" si="0"/>
        <v>16677</v>
      </c>
      <c r="O9" s="15"/>
    </row>
    <row r="10" spans="1:15" x14ac:dyDescent="0.25">
      <c r="A10" s="12" t="s">
        <v>8</v>
      </c>
      <c r="B10" s="9">
        <v>4</v>
      </c>
      <c r="C10" s="9">
        <v>1</v>
      </c>
      <c r="D10" s="9">
        <v>0</v>
      </c>
      <c r="E10" s="9">
        <v>0</v>
      </c>
      <c r="F10" s="9">
        <v>0</v>
      </c>
      <c r="G10" s="9">
        <v>4</v>
      </c>
      <c r="H10" s="9">
        <v>1</v>
      </c>
      <c r="I10" s="9">
        <v>1</v>
      </c>
      <c r="J10" s="9">
        <v>21</v>
      </c>
      <c r="K10" s="9">
        <v>14</v>
      </c>
      <c r="L10" s="9">
        <v>3</v>
      </c>
      <c r="M10" s="9">
        <v>7</v>
      </c>
      <c r="N10" s="9">
        <f t="shared" si="0"/>
        <v>56</v>
      </c>
      <c r="O10" s="15"/>
    </row>
    <row r="11" spans="1:15" x14ac:dyDescent="0.25">
      <c r="A11" s="12" t="s">
        <v>9</v>
      </c>
      <c r="B11" s="9">
        <v>8</v>
      </c>
      <c r="C11" s="9">
        <v>13</v>
      </c>
      <c r="D11" s="9">
        <v>15</v>
      </c>
      <c r="E11" s="9">
        <v>18</v>
      </c>
      <c r="F11" s="9">
        <v>18</v>
      </c>
      <c r="G11" s="9">
        <v>13</v>
      </c>
      <c r="H11" s="9">
        <v>12</v>
      </c>
      <c r="I11" s="9">
        <v>13</v>
      </c>
      <c r="J11" s="9">
        <v>18</v>
      </c>
      <c r="K11" s="9">
        <v>15</v>
      </c>
      <c r="L11" s="9">
        <v>17</v>
      </c>
      <c r="M11" s="9">
        <v>25</v>
      </c>
      <c r="N11" s="9">
        <f t="shared" si="0"/>
        <v>185</v>
      </c>
      <c r="O11" s="15"/>
    </row>
    <row r="12" spans="1:15" x14ac:dyDescent="0.25">
      <c r="A12" s="12" t="s">
        <v>10</v>
      </c>
      <c r="B12" s="9">
        <v>10</v>
      </c>
      <c r="C12" s="9">
        <v>6</v>
      </c>
      <c r="D12" s="9">
        <v>13</v>
      </c>
      <c r="E12" s="9">
        <v>8</v>
      </c>
      <c r="F12" s="9">
        <v>11</v>
      </c>
      <c r="G12" s="9">
        <v>17</v>
      </c>
      <c r="H12" s="9">
        <v>19</v>
      </c>
      <c r="I12" s="9">
        <v>28</v>
      </c>
      <c r="J12" s="9">
        <v>32</v>
      </c>
      <c r="K12" s="9">
        <v>6</v>
      </c>
      <c r="L12" s="9">
        <v>4</v>
      </c>
      <c r="M12" s="9">
        <v>2</v>
      </c>
      <c r="N12" s="9">
        <f t="shared" si="0"/>
        <v>156</v>
      </c>
      <c r="O12" s="15"/>
    </row>
    <row r="13" spans="1:15" x14ac:dyDescent="0.25">
      <c r="A13" s="12" t="s">
        <v>11</v>
      </c>
      <c r="B13" s="9">
        <v>18</v>
      </c>
      <c r="C13" s="9">
        <v>19</v>
      </c>
      <c r="D13" s="9">
        <v>22</v>
      </c>
      <c r="E13" s="9">
        <v>17</v>
      </c>
      <c r="F13" s="9">
        <v>20</v>
      </c>
      <c r="G13" s="9">
        <v>10</v>
      </c>
      <c r="H13" s="9"/>
      <c r="I13" s="9"/>
      <c r="J13" s="9">
        <v>21</v>
      </c>
      <c r="K13" s="9">
        <v>21</v>
      </c>
      <c r="L13" s="16">
        <v>18</v>
      </c>
      <c r="M13" s="16">
        <v>14</v>
      </c>
      <c r="N13" s="9">
        <f t="shared" si="0"/>
        <v>180</v>
      </c>
      <c r="O13" s="15"/>
    </row>
    <row r="14" spans="1:15" x14ac:dyDescent="0.25">
      <c r="A14" s="12" t="s">
        <v>12</v>
      </c>
      <c r="B14" s="9">
        <v>24</v>
      </c>
      <c r="C14" s="9">
        <v>119</v>
      </c>
      <c r="D14" s="9">
        <v>53</v>
      </c>
      <c r="E14" s="9">
        <v>45</v>
      </c>
      <c r="F14" s="9">
        <v>73</v>
      </c>
      <c r="G14" s="9">
        <v>158</v>
      </c>
      <c r="H14" s="9">
        <v>239</v>
      </c>
      <c r="I14" s="9">
        <v>144</v>
      </c>
      <c r="J14" s="9">
        <v>24</v>
      </c>
      <c r="K14" s="9">
        <v>42</v>
      </c>
      <c r="L14" s="9">
        <v>75</v>
      </c>
      <c r="M14" s="9">
        <v>5</v>
      </c>
      <c r="N14" s="9">
        <f t="shared" si="0"/>
        <v>1001</v>
      </c>
      <c r="O14" s="15"/>
    </row>
    <row r="15" spans="1:15" x14ac:dyDescent="0.25">
      <c r="A15" s="12" t="s">
        <v>13</v>
      </c>
      <c r="B15" s="9">
        <v>526</v>
      </c>
      <c r="C15" s="9">
        <v>614</v>
      </c>
      <c r="D15" s="9">
        <v>550</v>
      </c>
      <c r="E15" s="9">
        <v>506</v>
      </c>
      <c r="F15" s="9">
        <v>588</v>
      </c>
      <c r="G15" s="9">
        <v>255</v>
      </c>
      <c r="H15" s="9"/>
      <c r="I15" s="9"/>
      <c r="J15" s="9">
        <v>675</v>
      </c>
      <c r="K15" s="9">
        <v>532</v>
      </c>
      <c r="L15" s="9">
        <v>385</v>
      </c>
      <c r="M15" s="9">
        <v>300</v>
      </c>
      <c r="N15" s="9">
        <f t="shared" si="0"/>
        <v>4931</v>
      </c>
      <c r="O15" s="15"/>
    </row>
    <row r="16" spans="1:15" x14ac:dyDescent="0.25">
      <c r="A16" s="12" t="s">
        <v>14</v>
      </c>
      <c r="B16" s="9">
        <v>0</v>
      </c>
      <c r="C16" s="9">
        <v>0</v>
      </c>
      <c r="D16" s="9">
        <v>0</v>
      </c>
      <c r="E16" s="9">
        <v>0</v>
      </c>
      <c r="F16" s="9">
        <v>1847</v>
      </c>
      <c r="G16" s="9">
        <v>1865</v>
      </c>
      <c r="H16" s="9">
        <v>2752</v>
      </c>
      <c r="I16" s="9">
        <v>2717</v>
      </c>
      <c r="J16" s="9">
        <v>1973</v>
      </c>
      <c r="K16" s="9"/>
      <c r="L16" s="9"/>
      <c r="M16" s="9"/>
      <c r="N16" s="9">
        <f t="shared" si="0"/>
        <v>11154</v>
      </c>
      <c r="O16" s="15"/>
    </row>
    <row r="17" spans="1:15" x14ac:dyDescent="0.25">
      <c r="A17" s="12" t="s">
        <v>15</v>
      </c>
      <c r="B17" s="9">
        <v>475</v>
      </c>
      <c r="C17" s="9">
        <v>575</v>
      </c>
      <c r="D17" s="9">
        <f>25*25</f>
        <v>625</v>
      </c>
      <c r="E17" s="9">
        <f>23*25</f>
        <v>575</v>
      </c>
      <c r="F17" s="9">
        <f>29*25</f>
        <v>725</v>
      </c>
      <c r="G17" s="9">
        <f>35*25</f>
        <v>875</v>
      </c>
      <c r="H17" s="9">
        <f>33*25</f>
        <v>825</v>
      </c>
      <c r="I17" s="9">
        <f>39*25</f>
        <v>975</v>
      </c>
      <c r="J17" s="9">
        <f>18*25</f>
        <v>450</v>
      </c>
      <c r="K17" s="9">
        <f>20*25</f>
        <v>500</v>
      </c>
      <c r="L17" s="9">
        <f>25*25</f>
        <v>625</v>
      </c>
      <c r="M17" s="9">
        <f>20*25</f>
        <v>500</v>
      </c>
      <c r="N17" s="9">
        <f t="shared" si="0"/>
        <v>7725</v>
      </c>
      <c r="O17" s="15"/>
    </row>
    <row r="18" spans="1:15" x14ac:dyDescent="0.25">
      <c r="A18" s="12" t="s">
        <v>16</v>
      </c>
      <c r="B18" s="9">
        <v>9</v>
      </c>
      <c r="C18" s="9">
        <v>19</v>
      </c>
      <c r="D18" s="9">
        <v>12</v>
      </c>
      <c r="E18" s="9">
        <v>21</v>
      </c>
      <c r="F18" s="9">
        <v>32</v>
      </c>
      <c r="G18" s="9">
        <v>29</v>
      </c>
      <c r="H18" s="9">
        <v>32</v>
      </c>
      <c r="I18" s="9">
        <v>25</v>
      </c>
      <c r="J18" s="9">
        <v>12</v>
      </c>
      <c r="K18" s="9">
        <v>26</v>
      </c>
      <c r="L18" s="9">
        <v>9</v>
      </c>
      <c r="M18" s="9">
        <v>7</v>
      </c>
      <c r="N18" s="9">
        <f t="shared" si="0"/>
        <v>233</v>
      </c>
      <c r="O18" s="15"/>
    </row>
    <row r="19" spans="1:15" x14ac:dyDescent="0.25">
      <c r="A19" s="12" t="s">
        <v>17</v>
      </c>
      <c r="B19" s="9">
        <v>9</v>
      </c>
      <c r="C19" s="9">
        <v>6</v>
      </c>
      <c r="D19" s="9">
        <v>14</v>
      </c>
      <c r="E19" s="9">
        <v>16</v>
      </c>
      <c r="F19" s="9">
        <v>34</v>
      </c>
      <c r="G19" s="9">
        <v>27</v>
      </c>
      <c r="H19" s="9">
        <v>46</v>
      </c>
      <c r="I19" s="9">
        <v>41</v>
      </c>
      <c r="J19" s="9">
        <v>38</v>
      </c>
      <c r="K19" s="9">
        <v>25</v>
      </c>
      <c r="L19" s="9">
        <v>11</v>
      </c>
      <c r="M19" s="9">
        <v>2</v>
      </c>
      <c r="N19" s="9">
        <f t="shared" si="0"/>
        <v>269</v>
      </c>
      <c r="O19" s="15"/>
    </row>
    <row r="20" spans="1:15" x14ac:dyDescent="0.25">
      <c r="A20" s="12" t="s">
        <v>18</v>
      </c>
      <c r="B20" s="9">
        <v>127</v>
      </c>
      <c r="C20" s="9">
        <v>120</v>
      </c>
      <c r="D20" s="9">
        <v>112</v>
      </c>
      <c r="E20" s="9">
        <v>166</v>
      </c>
      <c r="F20" s="9">
        <v>138</v>
      </c>
      <c r="G20" s="9">
        <v>154</v>
      </c>
      <c r="H20" s="9">
        <v>173</v>
      </c>
      <c r="I20" s="9">
        <v>172</v>
      </c>
      <c r="J20" s="9">
        <v>147</v>
      </c>
      <c r="K20" s="9">
        <v>143</v>
      </c>
      <c r="L20" s="9">
        <v>121</v>
      </c>
      <c r="M20" s="9">
        <v>91</v>
      </c>
      <c r="N20" s="9">
        <f t="shared" si="0"/>
        <v>1664</v>
      </c>
      <c r="O20" s="15"/>
    </row>
    <row r="21" spans="1:15" x14ac:dyDescent="0.25">
      <c r="A21" s="12" t="s">
        <v>19</v>
      </c>
      <c r="B21" s="9">
        <v>41</v>
      </c>
      <c r="C21" s="9">
        <v>71</v>
      </c>
      <c r="D21" s="9">
        <v>62</v>
      </c>
      <c r="E21" s="9">
        <v>40</v>
      </c>
      <c r="F21" s="9">
        <v>66</v>
      </c>
      <c r="G21" s="9">
        <v>67</v>
      </c>
      <c r="H21" s="9">
        <v>69</v>
      </c>
      <c r="I21" s="9">
        <v>54</v>
      </c>
      <c r="J21" s="9">
        <v>71</v>
      </c>
      <c r="K21" s="9">
        <v>52</v>
      </c>
      <c r="L21" s="9">
        <v>48</v>
      </c>
      <c r="M21" s="9">
        <v>69</v>
      </c>
      <c r="N21" s="9">
        <f t="shared" si="0"/>
        <v>710</v>
      </c>
      <c r="O21" s="15"/>
    </row>
    <row r="22" spans="1:15" x14ac:dyDescent="0.25">
      <c r="A22" s="12" t="s">
        <v>20</v>
      </c>
      <c r="B22" s="9">
        <v>10</v>
      </c>
      <c r="C22" s="9">
        <v>15</v>
      </c>
      <c r="D22" s="9">
        <v>24</v>
      </c>
      <c r="E22" s="9">
        <v>24</v>
      </c>
      <c r="F22" s="9">
        <v>26</v>
      </c>
      <c r="G22" s="9">
        <v>29</v>
      </c>
      <c r="H22" s="9">
        <v>45</v>
      </c>
      <c r="I22" s="9">
        <v>51</v>
      </c>
      <c r="J22" s="9">
        <v>40</v>
      </c>
      <c r="K22" s="9">
        <v>25</v>
      </c>
      <c r="L22" s="9">
        <v>16</v>
      </c>
      <c r="M22" s="9">
        <v>19</v>
      </c>
      <c r="N22" s="9">
        <f t="shared" si="0"/>
        <v>324</v>
      </c>
      <c r="O22" s="15"/>
    </row>
    <row r="23" spans="1:15" x14ac:dyDescent="0.25">
      <c r="A23" s="12" t="s">
        <v>21</v>
      </c>
      <c r="B23" s="9">
        <v>6</v>
      </c>
      <c r="C23" s="9">
        <v>21</v>
      </c>
      <c r="D23" s="9">
        <v>19</v>
      </c>
      <c r="E23" s="9">
        <v>39</v>
      </c>
      <c r="F23" s="9">
        <v>26</v>
      </c>
      <c r="G23" s="9">
        <v>46</v>
      </c>
      <c r="H23" s="9">
        <v>56</v>
      </c>
      <c r="I23" s="9">
        <v>51</v>
      </c>
      <c r="J23" s="9">
        <v>39</v>
      </c>
      <c r="K23" s="9">
        <v>38</v>
      </c>
      <c r="L23" s="9">
        <v>14</v>
      </c>
      <c r="M23" s="9">
        <v>10</v>
      </c>
      <c r="N23" s="9">
        <f t="shared" si="0"/>
        <v>365</v>
      </c>
      <c r="O23" s="15"/>
    </row>
    <row r="24" spans="1:15" x14ac:dyDescent="0.25">
      <c r="A24" s="12" t="s">
        <v>22</v>
      </c>
      <c r="B24" s="9">
        <v>2</v>
      </c>
      <c r="C24" s="9">
        <v>6</v>
      </c>
      <c r="D24" s="9">
        <v>7</v>
      </c>
      <c r="E24" s="9">
        <v>8</v>
      </c>
      <c r="F24" s="9">
        <v>9</v>
      </c>
      <c r="G24" s="9">
        <v>16</v>
      </c>
      <c r="H24" s="9">
        <v>21</v>
      </c>
      <c r="I24" s="9">
        <v>13</v>
      </c>
      <c r="J24" s="9">
        <v>10</v>
      </c>
      <c r="K24" s="9">
        <v>5</v>
      </c>
      <c r="L24" s="9">
        <v>3</v>
      </c>
      <c r="M24" s="9">
        <v>9</v>
      </c>
      <c r="N24" s="9">
        <f t="shared" si="0"/>
        <v>109</v>
      </c>
      <c r="O24" s="15"/>
    </row>
    <row r="25" spans="1:15" x14ac:dyDescent="0.25">
      <c r="A25" s="12" t="s">
        <v>23</v>
      </c>
      <c r="B25" s="9">
        <v>4</v>
      </c>
      <c r="C25" s="9">
        <v>5</v>
      </c>
      <c r="D25" s="9">
        <v>5</v>
      </c>
      <c r="E25" s="9">
        <v>7</v>
      </c>
      <c r="F25" s="9">
        <v>16</v>
      </c>
      <c r="G25" s="9">
        <v>9</v>
      </c>
      <c r="H25" s="9">
        <v>8</v>
      </c>
      <c r="I25" s="9">
        <v>11</v>
      </c>
      <c r="J25" s="9">
        <v>24</v>
      </c>
      <c r="K25" s="9">
        <v>35</v>
      </c>
      <c r="L25" s="9">
        <v>7</v>
      </c>
      <c r="M25" s="9">
        <v>2</v>
      </c>
      <c r="N25" s="9">
        <f t="shared" si="0"/>
        <v>133</v>
      </c>
      <c r="O25" s="15"/>
    </row>
    <row r="26" spans="1:15" x14ac:dyDescent="0.25">
      <c r="A26" s="12" t="s">
        <v>24</v>
      </c>
      <c r="B26" s="9">
        <v>0</v>
      </c>
      <c r="C26" s="9">
        <v>6</v>
      </c>
      <c r="D26" s="9">
        <v>7</v>
      </c>
      <c r="E26" s="9">
        <v>9</v>
      </c>
      <c r="F26" s="9">
        <v>7</v>
      </c>
      <c r="G26" s="9">
        <v>25</v>
      </c>
      <c r="H26" s="9">
        <v>21</v>
      </c>
      <c r="I26" s="9">
        <v>16</v>
      </c>
      <c r="J26" s="9">
        <v>8</v>
      </c>
      <c r="K26" s="9">
        <v>4</v>
      </c>
      <c r="L26" s="9">
        <v>5</v>
      </c>
      <c r="M26" s="9"/>
      <c r="N26" s="9">
        <f t="shared" si="0"/>
        <v>108</v>
      </c>
      <c r="O26" s="15"/>
    </row>
    <row r="27" spans="1:15" ht="15" customHeight="1" x14ac:dyDescent="0.25">
      <c r="A27" s="12" t="s">
        <v>25</v>
      </c>
      <c r="B27" s="9">
        <v>0</v>
      </c>
      <c r="C27" s="9">
        <v>8</v>
      </c>
      <c r="D27" s="9">
        <v>2</v>
      </c>
      <c r="E27" s="9">
        <v>2</v>
      </c>
      <c r="F27" s="9">
        <v>4</v>
      </c>
      <c r="G27" s="9">
        <v>0</v>
      </c>
      <c r="H27" s="9">
        <v>14</v>
      </c>
      <c r="I27" s="9">
        <v>4</v>
      </c>
      <c r="J27" s="9">
        <v>1</v>
      </c>
      <c r="K27" s="9">
        <v>2</v>
      </c>
      <c r="L27" s="9">
        <v>5</v>
      </c>
      <c r="M27" s="9">
        <v>1</v>
      </c>
      <c r="N27" s="9">
        <f t="shared" si="0"/>
        <v>43</v>
      </c>
      <c r="O27" s="15"/>
    </row>
    <row r="28" spans="1:15" ht="15" customHeight="1" x14ac:dyDescent="0.25">
      <c r="A28" s="12" t="s">
        <v>26</v>
      </c>
      <c r="B28" s="9">
        <v>658</v>
      </c>
      <c r="C28" s="9">
        <v>613</v>
      </c>
      <c r="D28" s="9">
        <v>678</v>
      </c>
      <c r="E28" s="9">
        <v>678</v>
      </c>
      <c r="F28" s="9">
        <v>736</v>
      </c>
      <c r="G28" s="9">
        <v>702</v>
      </c>
      <c r="H28" s="9">
        <v>758</v>
      </c>
      <c r="I28" s="9">
        <v>770</v>
      </c>
      <c r="J28" s="9">
        <v>701</v>
      </c>
      <c r="K28" s="9">
        <v>695</v>
      </c>
      <c r="L28" s="16">
        <v>653</v>
      </c>
      <c r="M28" s="16">
        <v>682</v>
      </c>
      <c r="N28" s="9">
        <f t="shared" si="0"/>
        <v>8324</v>
      </c>
      <c r="O28" s="15"/>
    </row>
    <row r="29" spans="1:15" ht="15" customHeight="1" x14ac:dyDescent="0.25">
      <c r="A29" s="12" t="s">
        <v>27</v>
      </c>
      <c r="B29" s="9">
        <v>191</v>
      </c>
      <c r="C29" s="9">
        <v>206</v>
      </c>
      <c r="D29" s="9">
        <v>243</v>
      </c>
      <c r="E29" s="9">
        <v>299</v>
      </c>
      <c r="F29" s="9">
        <v>440</v>
      </c>
      <c r="G29" s="9">
        <v>395</v>
      </c>
      <c r="H29" s="9">
        <v>516</v>
      </c>
      <c r="I29" s="9">
        <v>552</v>
      </c>
      <c r="J29" s="9">
        <v>439</v>
      </c>
      <c r="K29" s="9">
        <v>316</v>
      </c>
      <c r="L29" s="9">
        <v>311</v>
      </c>
      <c r="M29" s="9">
        <v>309</v>
      </c>
      <c r="N29" s="9">
        <f t="shared" si="0"/>
        <v>4217</v>
      </c>
      <c r="O29" s="15"/>
    </row>
    <row r="30" spans="1:15" x14ac:dyDescent="0.25">
      <c r="A30" s="17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5"/>
    </row>
    <row r="31" spans="1:15" x14ac:dyDescent="0.25">
      <c r="A31" s="12" t="s">
        <v>50</v>
      </c>
      <c r="B31" s="30">
        <f>B4+B5+B9+B10+B11+B20+B21+B22+B23+B24+B25+B27+B12</f>
        <v>6928</v>
      </c>
      <c r="C31" s="30">
        <f t="shared" ref="C31:M31" si="1">C4+C5+C9+C10+C11+C20+C21+C22+C23+C24+C25+C27+C12</f>
        <v>7309</v>
      </c>
      <c r="D31" s="30">
        <f t="shared" si="1"/>
        <v>8224</v>
      </c>
      <c r="E31" s="30">
        <f t="shared" si="1"/>
        <v>8903</v>
      </c>
      <c r="F31" s="30">
        <f t="shared" si="1"/>
        <v>9949</v>
      </c>
      <c r="G31" s="30">
        <f t="shared" si="1"/>
        <v>9889</v>
      </c>
      <c r="H31" s="30">
        <f t="shared" si="1"/>
        <v>10030</v>
      </c>
      <c r="I31" s="30">
        <f t="shared" si="1"/>
        <v>9771</v>
      </c>
      <c r="J31" s="30">
        <f t="shared" si="1"/>
        <v>8283</v>
      </c>
      <c r="K31" s="30">
        <f t="shared" si="1"/>
        <v>8433</v>
      </c>
      <c r="L31" s="30">
        <f t="shared" si="1"/>
        <v>7102</v>
      </c>
      <c r="M31" s="30">
        <f t="shared" si="1"/>
        <v>7757</v>
      </c>
      <c r="N31" s="9">
        <f>SUM(B31:M31)</f>
        <v>102578</v>
      </c>
      <c r="O31" s="15"/>
    </row>
    <row r="32" spans="1:15" x14ac:dyDescent="0.25">
      <c r="A32" s="12" t="s">
        <v>28</v>
      </c>
      <c r="B32" s="30">
        <f>B4+B5+B6+B7+B8+B9+B10+B11+B12+B15+B17+B20+B21+B22+B23+B24+B25+B27+B29</f>
        <v>11903</v>
      </c>
      <c r="C32" s="30">
        <f t="shared" ref="C32:M32" si="2">C4+C5+C6+C7+C8+C9+C10+C11+C12+C15+C17+C20+C21+C22+C23+C24+C25+C27+C29</f>
        <v>12320</v>
      </c>
      <c r="D32" s="30">
        <f t="shared" si="2"/>
        <v>14263</v>
      </c>
      <c r="E32" s="30">
        <f t="shared" si="2"/>
        <v>15518</v>
      </c>
      <c r="F32" s="30">
        <f t="shared" si="2"/>
        <v>18046</v>
      </c>
      <c r="G32" s="30">
        <f t="shared" si="2"/>
        <v>17829</v>
      </c>
      <c r="H32" s="30">
        <f t="shared" si="2"/>
        <v>21231</v>
      </c>
      <c r="I32" s="30">
        <f t="shared" si="2"/>
        <v>21000</v>
      </c>
      <c r="J32" s="30">
        <f t="shared" si="2"/>
        <v>15672</v>
      </c>
      <c r="K32" s="30">
        <f t="shared" si="2"/>
        <v>14945</v>
      </c>
      <c r="L32" s="30">
        <f t="shared" si="2"/>
        <v>13017</v>
      </c>
      <c r="M32" s="30">
        <f t="shared" si="2"/>
        <v>12734</v>
      </c>
      <c r="N32" s="9">
        <f>SUM(B32:M32)</f>
        <v>188478</v>
      </c>
      <c r="O32" s="15"/>
    </row>
    <row r="33" spans="1:14" x14ac:dyDescent="0.25">
      <c r="A33" s="12" t="s">
        <v>46</v>
      </c>
      <c r="B33" s="30">
        <f>SUM(B4:B29)-B14-B16-B28-B29-B15</f>
        <v>11222</v>
      </c>
      <c r="C33" s="30">
        <f t="shared" ref="C33:M33" si="3">SUM(C4:C29)-C14-C16-C28-C29-C15</f>
        <v>11550</v>
      </c>
      <c r="D33" s="30">
        <f t="shared" si="3"/>
        <v>13525</v>
      </c>
      <c r="E33" s="30">
        <f t="shared" si="3"/>
        <v>14776</v>
      </c>
      <c r="F33" s="30">
        <f t="shared" si="3"/>
        <v>17111</v>
      </c>
      <c r="G33" s="30">
        <f t="shared" si="3"/>
        <v>17270</v>
      </c>
      <c r="H33" s="30">
        <f t="shared" si="3"/>
        <v>20814</v>
      </c>
      <c r="I33" s="30">
        <f t="shared" si="3"/>
        <v>20530</v>
      </c>
      <c r="J33" s="30">
        <f t="shared" si="3"/>
        <v>14637</v>
      </c>
      <c r="K33" s="30">
        <f t="shared" si="3"/>
        <v>14173</v>
      </c>
      <c r="L33" s="30">
        <f t="shared" si="3"/>
        <v>12364</v>
      </c>
      <c r="M33" s="30">
        <f t="shared" si="3"/>
        <v>12148</v>
      </c>
      <c r="N33" s="9">
        <f>SUM(B33:M33)</f>
        <v>180120</v>
      </c>
    </row>
    <row r="34" spans="1:14" x14ac:dyDescent="0.25">
      <c r="A34" s="12" t="s">
        <v>51</v>
      </c>
      <c r="B34" s="30">
        <f>+B29+B15</f>
        <v>717</v>
      </c>
      <c r="C34" s="30">
        <f t="shared" ref="C34:M34" si="4">+C29+C15</f>
        <v>820</v>
      </c>
      <c r="D34" s="30">
        <f t="shared" si="4"/>
        <v>793</v>
      </c>
      <c r="E34" s="30">
        <f t="shared" si="4"/>
        <v>805</v>
      </c>
      <c r="F34" s="30">
        <f t="shared" si="4"/>
        <v>1028</v>
      </c>
      <c r="G34" s="30">
        <f t="shared" si="4"/>
        <v>650</v>
      </c>
      <c r="H34" s="30">
        <f t="shared" si="4"/>
        <v>516</v>
      </c>
      <c r="I34" s="30">
        <f t="shared" si="4"/>
        <v>552</v>
      </c>
      <c r="J34" s="30">
        <f t="shared" si="4"/>
        <v>1114</v>
      </c>
      <c r="K34" s="30">
        <f t="shared" si="4"/>
        <v>848</v>
      </c>
      <c r="L34" s="30">
        <f t="shared" si="4"/>
        <v>696</v>
      </c>
      <c r="M34" s="30">
        <f t="shared" si="4"/>
        <v>609</v>
      </c>
      <c r="N34" s="9">
        <f>SUM(B34:M34)</f>
        <v>9148</v>
      </c>
    </row>
    <row r="35" spans="1:14" x14ac:dyDescent="0.25">
      <c r="A35" s="12" t="s">
        <v>52</v>
      </c>
      <c r="B35" s="30">
        <f>+B6+B7+B8+B17+B29+B15</f>
        <v>4975</v>
      </c>
      <c r="C35" s="30">
        <f t="shared" ref="C35:M35" si="5">+C6+C7+C8+C17+C29+C15</f>
        <v>5011</v>
      </c>
      <c r="D35" s="30">
        <f t="shared" si="5"/>
        <v>6039</v>
      </c>
      <c r="E35" s="30">
        <f t="shared" si="5"/>
        <v>6615</v>
      </c>
      <c r="F35" s="30">
        <f t="shared" si="5"/>
        <v>8097</v>
      </c>
      <c r="G35" s="30">
        <f t="shared" si="5"/>
        <v>7940</v>
      </c>
      <c r="H35" s="30">
        <f t="shared" si="5"/>
        <v>11201</v>
      </c>
      <c r="I35" s="30">
        <f t="shared" si="5"/>
        <v>11229</v>
      </c>
      <c r="J35" s="30">
        <f t="shared" si="5"/>
        <v>7389</v>
      </c>
      <c r="K35" s="30">
        <f t="shared" si="5"/>
        <v>6512</v>
      </c>
      <c r="L35" s="30">
        <f t="shared" si="5"/>
        <v>5915</v>
      </c>
      <c r="M35" s="30">
        <f t="shared" si="5"/>
        <v>4977</v>
      </c>
      <c r="N35" s="9">
        <f>SUM(B35:M35)</f>
        <v>85900</v>
      </c>
    </row>
    <row r="36" spans="1:14" x14ac:dyDescent="0.25">
      <c r="A36" s="15"/>
      <c r="B36" s="18">
        <f t="shared" ref="B36:N36" si="6">SUM(B4:B29)</f>
        <v>12621</v>
      </c>
      <c r="C36" s="18">
        <f t="shared" si="6"/>
        <v>13102</v>
      </c>
      <c r="D36" s="18">
        <f t="shared" si="6"/>
        <v>15049</v>
      </c>
      <c r="E36" s="18">
        <f t="shared" si="6"/>
        <v>16304</v>
      </c>
      <c r="F36" s="18">
        <f t="shared" si="6"/>
        <v>20795</v>
      </c>
      <c r="G36" s="18">
        <f t="shared" si="6"/>
        <v>20645</v>
      </c>
      <c r="H36" s="18">
        <f t="shared" si="6"/>
        <v>25079</v>
      </c>
      <c r="I36" s="18">
        <f t="shared" si="6"/>
        <v>24713</v>
      </c>
      <c r="J36" s="18">
        <f t="shared" si="6"/>
        <v>18449</v>
      </c>
      <c r="K36" s="18">
        <f t="shared" si="6"/>
        <v>15758</v>
      </c>
      <c r="L36" s="18">
        <f t="shared" si="6"/>
        <v>13788</v>
      </c>
      <c r="M36" s="18">
        <f t="shared" si="6"/>
        <v>13444</v>
      </c>
      <c r="N36" s="18">
        <f t="shared" si="6"/>
        <v>209747</v>
      </c>
    </row>
    <row r="37" spans="1:14" x14ac:dyDescent="0.25">
      <c r="A37" s="19"/>
    </row>
    <row r="39" spans="1:14" x14ac:dyDescent="0.25">
      <c r="A39" s="104" t="s">
        <v>47</v>
      </c>
      <c r="B39" s="104"/>
      <c r="C39" s="104"/>
      <c r="D39" s="104"/>
      <c r="E39" s="104"/>
      <c r="F39" s="104"/>
      <c r="G39" s="104"/>
      <c r="H39" s="104"/>
      <c r="I39" s="104"/>
    </row>
    <row r="40" spans="1:14" x14ac:dyDescent="0.25">
      <c r="A40" s="105" t="s">
        <v>48</v>
      </c>
      <c r="B40" s="105"/>
      <c r="C40" s="105"/>
      <c r="D40" s="105"/>
      <c r="E40" s="105"/>
      <c r="F40" s="105"/>
      <c r="G40" s="105"/>
      <c r="H40" s="105"/>
      <c r="I40" s="105"/>
    </row>
    <row r="41" spans="1:14" x14ac:dyDescent="0.25">
      <c r="A41" s="105" t="s">
        <v>53</v>
      </c>
      <c r="B41" s="105"/>
      <c r="C41" s="105"/>
      <c r="D41" s="105"/>
      <c r="E41" s="105"/>
      <c r="F41" s="105"/>
      <c r="G41" s="105"/>
      <c r="H41" s="105"/>
      <c r="I41" s="105"/>
    </row>
    <row r="42" spans="1:14" x14ac:dyDescent="0.25">
      <c r="A42" s="106" t="s">
        <v>49</v>
      </c>
      <c r="B42" s="106"/>
      <c r="C42" s="106"/>
      <c r="D42" s="106"/>
      <c r="E42" s="106"/>
      <c r="F42" s="106"/>
      <c r="G42" s="106"/>
      <c r="H42" s="106"/>
      <c r="I42" s="106"/>
    </row>
  </sheetData>
  <mergeCells count="4">
    <mergeCell ref="A39:I39"/>
    <mergeCell ref="A40:I40"/>
    <mergeCell ref="A41:I41"/>
    <mergeCell ref="A42:I42"/>
  </mergeCells>
  <phoneticPr fontId="0" type="noConversion"/>
  <pageMargins left="0.65" right="0.75" top="1" bottom="1" header="0.5" footer="0.5"/>
  <pageSetup scale="74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syncVertical="1" syncRef="G8" transitionEvaluation="1">
    <pageSetUpPr fitToPage="1"/>
  </sheetPr>
  <dimension ref="A1:O42"/>
  <sheetViews>
    <sheetView showGridLines="0" topLeftCell="A8" workbookViewId="0">
      <pane xSplit="1" topLeftCell="G1" activePane="topRight" state="frozen"/>
      <selection activeCell="A19" sqref="A19"/>
      <selection pane="topRight" activeCell="M35" sqref="M35"/>
    </sheetView>
  </sheetViews>
  <sheetFormatPr defaultColWidth="9.75" defaultRowHeight="15.6" x14ac:dyDescent="0.3"/>
  <cols>
    <col min="1" max="1" width="21.75" style="2" customWidth="1"/>
    <col min="2" max="13" width="6.75" style="2" customWidth="1"/>
    <col min="14" max="14" width="7.9140625" style="2" customWidth="1"/>
    <col min="15" max="16384" width="9.75" style="2"/>
  </cols>
  <sheetData>
    <row r="1" spans="1:15" x14ac:dyDescent="0.3">
      <c r="A1" s="1" t="s">
        <v>0</v>
      </c>
    </row>
    <row r="3" spans="1:15" x14ac:dyDescent="0.3">
      <c r="A3" s="3" t="s">
        <v>1</v>
      </c>
      <c r="B3" s="4" t="s">
        <v>29</v>
      </c>
      <c r="C3" s="4" t="s">
        <v>30</v>
      </c>
      <c r="D3" s="4" t="s">
        <v>31</v>
      </c>
      <c r="E3" s="4" t="s">
        <v>32</v>
      </c>
      <c r="F3" s="4" t="s">
        <v>33</v>
      </c>
      <c r="G3" s="4" t="s">
        <v>34</v>
      </c>
      <c r="H3" s="4" t="s">
        <v>35</v>
      </c>
      <c r="I3" s="4" t="s">
        <v>36</v>
      </c>
      <c r="J3" s="4" t="s">
        <v>37</v>
      </c>
      <c r="K3" s="4" t="s">
        <v>38</v>
      </c>
      <c r="L3" s="4" t="s">
        <v>39</v>
      </c>
      <c r="M3" s="4" t="s">
        <v>40</v>
      </c>
      <c r="N3" s="3" t="s">
        <v>41</v>
      </c>
      <c r="O3" s="5"/>
    </row>
    <row r="4" spans="1:15" x14ac:dyDescent="0.3">
      <c r="A4" s="3" t="s">
        <v>2</v>
      </c>
      <c r="B4" s="7">
        <v>559</v>
      </c>
      <c r="C4" s="7">
        <v>546</v>
      </c>
      <c r="D4" s="7">
        <v>650</v>
      </c>
      <c r="E4" s="7">
        <v>741</v>
      </c>
      <c r="F4" s="7">
        <v>1131</v>
      </c>
      <c r="G4" s="7">
        <v>585</v>
      </c>
      <c r="H4" s="7">
        <v>806</v>
      </c>
      <c r="I4" s="7">
        <v>1222</v>
      </c>
      <c r="J4" s="7">
        <v>663</v>
      </c>
      <c r="K4" s="7">
        <v>728</v>
      </c>
      <c r="L4" s="7">
        <f>39*13</f>
        <v>507</v>
      </c>
      <c r="M4" s="7">
        <v>416</v>
      </c>
      <c r="N4" s="7">
        <f t="shared" ref="N4:N29" si="0">SUM(B4:M4)</f>
        <v>8554</v>
      </c>
      <c r="O4" s="5"/>
    </row>
    <row r="5" spans="1:15" x14ac:dyDescent="0.3">
      <c r="A5" s="3" t="s">
        <v>3</v>
      </c>
      <c r="B5" s="7">
        <v>6125</v>
      </c>
      <c r="C5" s="7">
        <v>5975</v>
      </c>
      <c r="D5" s="7">
        <v>6075</v>
      </c>
      <c r="E5" s="7">
        <v>6750</v>
      </c>
      <c r="F5" s="7">
        <v>7150</v>
      </c>
      <c r="G5" s="7">
        <v>5125</v>
      </c>
      <c r="H5" s="7">
        <v>6200</v>
      </c>
      <c r="I5" s="7">
        <v>6275</v>
      </c>
      <c r="J5" s="7">
        <v>5975</v>
      </c>
      <c r="K5" s="7">
        <v>5725</v>
      </c>
      <c r="L5" s="7">
        <f>236*25</f>
        <v>5900</v>
      </c>
      <c r="M5" s="7">
        <v>6200</v>
      </c>
      <c r="N5" s="7">
        <f t="shared" si="0"/>
        <v>73475</v>
      </c>
      <c r="O5" s="5"/>
    </row>
    <row r="6" spans="1:15" x14ac:dyDescent="0.3">
      <c r="A6" s="3" t="s">
        <v>4</v>
      </c>
      <c r="B6" s="7">
        <v>2250</v>
      </c>
      <c r="C6" s="7">
        <v>2350</v>
      </c>
      <c r="D6" s="7">
        <v>2675</v>
      </c>
      <c r="E6" s="7">
        <v>3025</v>
      </c>
      <c r="F6" s="7">
        <v>3150</v>
      </c>
      <c r="G6" s="7">
        <v>5500</v>
      </c>
      <c r="H6" s="7">
        <v>3850</v>
      </c>
      <c r="I6" s="7">
        <v>3925</v>
      </c>
      <c r="J6" s="7">
        <v>2925</v>
      </c>
      <c r="K6" s="7">
        <v>2600</v>
      </c>
      <c r="L6" s="7">
        <f>98*25</f>
        <v>2450</v>
      </c>
      <c r="M6" s="7">
        <v>2450</v>
      </c>
      <c r="N6" s="7">
        <f t="shared" si="0"/>
        <v>37150</v>
      </c>
      <c r="O6" s="5"/>
    </row>
    <row r="7" spans="1:15" x14ac:dyDescent="0.3">
      <c r="A7" s="3" t="s">
        <v>5</v>
      </c>
      <c r="B7" s="7">
        <v>862</v>
      </c>
      <c r="C7" s="7">
        <v>1006</v>
      </c>
      <c r="D7" s="7">
        <v>1155</v>
      </c>
      <c r="E7" s="7">
        <v>1556</v>
      </c>
      <c r="F7" s="7">
        <v>2127</v>
      </c>
      <c r="G7" s="7">
        <v>2269</v>
      </c>
      <c r="H7" s="7">
        <v>3396</v>
      </c>
      <c r="I7" s="7">
        <v>3836</v>
      </c>
      <c r="J7" s="7">
        <v>1907</v>
      </c>
      <c r="K7" s="7">
        <v>1383</v>
      </c>
      <c r="L7" s="7">
        <v>1537</v>
      </c>
      <c r="M7" s="7">
        <v>1252</v>
      </c>
      <c r="N7" s="7">
        <f t="shared" si="0"/>
        <v>22286</v>
      </c>
      <c r="O7" s="5"/>
    </row>
    <row r="8" spans="1:15" x14ac:dyDescent="0.3">
      <c r="A8" s="3" t="s">
        <v>6</v>
      </c>
      <c r="B8" s="7">
        <v>395</v>
      </c>
      <c r="C8" s="7">
        <v>423</v>
      </c>
      <c r="D8" s="7">
        <v>500</v>
      </c>
      <c r="E8" s="7">
        <v>699</v>
      </c>
      <c r="F8" s="7">
        <v>844</v>
      </c>
      <c r="G8" s="7">
        <v>902</v>
      </c>
      <c r="H8" s="7">
        <v>1516</v>
      </c>
      <c r="I8" s="7">
        <v>1599</v>
      </c>
      <c r="J8" s="7">
        <v>579</v>
      </c>
      <c r="K8" s="7">
        <v>435</v>
      </c>
      <c r="L8" s="7">
        <v>704</v>
      </c>
      <c r="M8" s="7">
        <v>572</v>
      </c>
      <c r="N8" s="7">
        <f t="shared" si="0"/>
        <v>9168</v>
      </c>
      <c r="O8" s="5"/>
    </row>
    <row r="9" spans="1:15" x14ac:dyDescent="0.3">
      <c r="A9" s="3" t="s">
        <v>7</v>
      </c>
      <c r="B9" s="7">
        <v>789</v>
      </c>
      <c r="C9" s="7">
        <v>920</v>
      </c>
      <c r="D9" s="7">
        <v>1045</v>
      </c>
      <c r="E9" s="7">
        <v>1224</v>
      </c>
      <c r="F9" s="7">
        <v>1608</v>
      </c>
      <c r="G9" s="7">
        <v>1027</v>
      </c>
      <c r="H9" s="7">
        <v>2241</v>
      </c>
      <c r="I9" s="7">
        <v>2447</v>
      </c>
      <c r="J9" s="7">
        <v>1475</v>
      </c>
      <c r="K9" s="7">
        <v>1145</v>
      </c>
      <c r="L9" s="7">
        <v>1180</v>
      </c>
      <c r="M9" s="7">
        <v>1085</v>
      </c>
      <c r="N9" s="7">
        <f t="shared" si="0"/>
        <v>16186</v>
      </c>
      <c r="O9" s="5"/>
    </row>
    <row r="10" spans="1:15" x14ac:dyDescent="0.3">
      <c r="A10" s="3" t="s">
        <v>8</v>
      </c>
      <c r="B10" s="7">
        <v>0</v>
      </c>
      <c r="C10" s="7">
        <v>0</v>
      </c>
      <c r="D10" s="7">
        <v>1</v>
      </c>
      <c r="E10" s="7">
        <v>1</v>
      </c>
      <c r="F10" s="7">
        <v>1</v>
      </c>
      <c r="G10" s="7">
        <v>1</v>
      </c>
      <c r="H10" s="7">
        <v>2</v>
      </c>
      <c r="I10" s="7">
        <v>0</v>
      </c>
      <c r="J10" s="7">
        <v>7</v>
      </c>
      <c r="K10" s="7">
        <v>0</v>
      </c>
      <c r="L10" s="7">
        <v>1</v>
      </c>
      <c r="M10" s="7">
        <v>1</v>
      </c>
      <c r="N10" s="7">
        <f t="shared" si="0"/>
        <v>15</v>
      </c>
      <c r="O10" s="5"/>
    </row>
    <row r="11" spans="1:15" x14ac:dyDescent="0.3">
      <c r="A11" s="3" t="s">
        <v>9</v>
      </c>
      <c r="B11" s="7">
        <v>14</v>
      </c>
      <c r="C11" s="7">
        <v>11</v>
      </c>
      <c r="D11" s="7">
        <v>9</v>
      </c>
      <c r="E11" s="7">
        <v>12</v>
      </c>
      <c r="F11" s="7">
        <v>11</v>
      </c>
      <c r="G11" s="7">
        <v>9</v>
      </c>
      <c r="H11" s="7">
        <v>10</v>
      </c>
      <c r="I11" s="7">
        <v>19</v>
      </c>
      <c r="J11" s="7">
        <v>19</v>
      </c>
      <c r="K11" s="7">
        <v>11</v>
      </c>
      <c r="L11" s="7">
        <v>10</v>
      </c>
      <c r="M11" s="7">
        <v>13</v>
      </c>
      <c r="N11" s="7">
        <f t="shared" si="0"/>
        <v>148</v>
      </c>
      <c r="O11" s="5"/>
    </row>
    <row r="12" spans="1:15" x14ac:dyDescent="0.3">
      <c r="A12" s="3" t="s">
        <v>10</v>
      </c>
      <c r="B12" s="7">
        <v>1</v>
      </c>
      <c r="C12" s="7">
        <v>4</v>
      </c>
      <c r="D12" s="7">
        <v>0</v>
      </c>
      <c r="E12" s="7">
        <v>6</v>
      </c>
      <c r="F12" s="7">
        <v>12</v>
      </c>
      <c r="G12" s="7">
        <v>12</v>
      </c>
      <c r="H12" s="7">
        <v>18</v>
      </c>
      <c r="I12" s="7">
        <v>31</v>
      </c>
      <c r="J12" s="7">
        <v>4</v>
      </c>
      <c r="K12" s="7">
        <v>6</v>
      </c>
      <c r="L12" s="7">
        <v>11</v>
      </c>
      <c r="M12" s="7">
        <v>3</v>
      </c>
      <c r="N12" s="7">
        <f t="shared" si="0"/>
        <v>108</v>
      </c>
      <c r="O12" s="5"/>
    </row>
    <row r="13" spans="1:15" x14ac:dyDescent="0.3">
      <c r="A13" s="3" t="s">
        <v>11</v>
      </c>
      <c r="B13" s="7">
        <v>18</v>
      </c>
      <c r="C13" s="7">
        <v>19</v>
      </c>
      <c r="D13" s="7">
        <v>20</v>
      </c>
      <c r="E13" s="7">
        <v>18</v>
      </c>
      <c r="F13" s="7">
        <v>21</v>
      </c>
      <c r="G13" s="7">
        <v>10</v>
      </c>
      <c r="H13" s="7">
        <v>0</v>
      </c>
      <c r="I13" s="7">
        <v>0</v>
      </c>
      <c r="J13" s="7">
        <v>20</v>
      </c>
      <c r="K13" s="7">
        <v>22</v>
      </c>
      <c r="L13" s="8">
        <v>17</v>
      </c>
      <c r="M13" s="8">
        <v>19</v>
      </c>
      <c r="N13" s="7">
        <f t="shared" si="0"/>
        <v>184</v>
      </c>
      <c r="O13" s="5"/>
    </row>
    <row r="14" spans="1:15" x14ac:dyDescent="0.3">
      <c r="A14" s="3" t="s">
        <v>12</v>
      </c>
      <c r="B14" s="7">
        <v>20</v>
      </c>
      <c r="C14" s="7">
        <v>38</v>
      </c>
      <c r="D14" s="7">
        <v>53</v>
      </c>
      <c r="E14" s="7">
        <v>64</v>
      </c>
      <c r="F14" s="7">
        <v>57</v>
      </c>
      <c r="G14" s="7">
        <v>78</v>
      </c>
      <c r="H14" s="7">
        <v>98</v>
      </c>
      <c r="I14" s="7">
        <v>262</v>
      </c>
      <c r="J14" s="7">
        <v>122</v>
      </c>
      <c r="K14" s="7">
        <v>87</v>
      </c>
      <c r="L14" s="7">
        <v>71</v>
      </c>
      <c r="M14" s="7">
        <v>30</v>
      </c>
      <c r="N14" s="7">
        <f t="shared" si="0"/>
        <v>980</v>
      </c>
      <c r="O14" s="5"/>
    </row>
    <row r="15" spans="1:15" x14ac:dyDescent="0.3">
      <c r="A15" s="3" t="s">
        <v>13</v>
      </c>
      <c r="B15" s="7">
        <v>813</v>
      </c>
      <c r="C15" s="7">
        <v>742</v>
      </c>
      <c r="D15" s="7">
        <v>879</v>
      </c>
      <c r="E15" s="7">
        <v>658</v>
      </c>
      <c r="F15" s="7">
        <v>1005</v>
      </c>
      <c r="G15" s="7">
        <v>349</v>
      </c>
      <c r="H15" s="7">
        <v>0</v>
      </c>
      <c r="I15" s="7">
        <v>0</v>
      </c>
      <c r="J15" s="7">
        <v>742</v>
      </c>
      <c r="K15" s="7">
        <v>715</v>
      </c>
      <c r="L15" s="7">
        <v>722</v>
      </c>
      <c r="M15" s="7">
        <v>455</v>
      </c>
      <c r="N15" s="7">
        <f t="shared" si="0"/>
        <v>7080</v>
      </c>
      <c r="O15" s="5"/>
    </row>
    <row r="16" spans="1:15" x14ac:dyDescent="0.3">
      <c r="A16" s="3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2001</v>
      </c>
      <c r="G16" s="7">
        <v>1275</v>
      </c>
      <c r="H16" s="7">
        <v>2699</v>
      </c>
      <c r="I16" s="7">
        <v>2844</v>
      </c>
      <c r="J16" s="7">
        <v>1821</v>
      </c>
      <c r="K16" s="7">
        <v>0</v>
      </c>
      <c r="L16" s="7">
        <v>0</v>
      </c>
      <c r="M16" s="7">
        <v>0</v>
      </c>
      <c r="N16" s="7">
        <f t="shared" si="0"/>
        <v>10640</v>
      </c>
      <c r="O16" s="5"/>
    </row>
    <row r="17" spans="1:15" x14ac:dyDescent="0.3">
      <c r="A17" s="3" t="s">
        <v>15</v>
      </c>
      <c r="B17" s="7">
        <v>525</v>
      </c>
      <c r="C17" s="7">
        <v>425</v>
      </c>
      <c r="D17" s="7">
        <v>475</v>
      </c>
      <c r="E17" s="7">
        <v>475</v>
      </c>
      <c r="F17" s="7">
        <v>650</v>
      </c>
      <c r="G17" s="7">
        <v>925</v>
      </c>
      <c r="H17" s="7">
        <v>1500</v>
      </c>
      <c r="I17" s="7">
        <v>1050</v>
      </c>
      <c r="J17" s="7">
        <v>450</v>
      </c>
      <c r="K17" s="7">
        <v>475</v>
      </c>
      <c r="L17" s="7">
        <f>25*25</f>
        <v>625</v>
      </c>
      <c r="M17" s="7">
        <v>500</v>
      </c>
      <c r="N17" s="7">
        <f t="shared" si="0"/>
        <v>8075</v>
      </c>
      <c r="O17" s="5"/>
    </row>
    <row r="18" spans="1:15" x14ac:dyDescent="0.3">
      <c r="A18" s="3" t="s">
        <v>16</v>
      </c>
      <c r="B18" s="7">
        <v>14</v>
      </c>
      <c r="C18" s="7">
        <v>4</v>
      </c>
      <c r="D18" s="7">
        <v>6</v>
      </c>
      <c r="E18" s="7">
        <v>13</v>
      </c>
      <c r="F18" s="7">
        <v>15</v>
      </c>
      <c r="G18" s="7">
        <v>13</v>
      </c>
      <c r="H18" s="7">
        <v>13</v>
      </c>
      <c r="I18" s="7">
        <v>19</v>
      </c>
      <c r="J18" s="7">
        <v>15</v>
      </c>
      <c r="K18" s="7">
        <v>19</v>
      </c>
      <c r="L18" s="7">
        <v>7</v>
      </c>
      <c r="M18" s="7">
        <v>6</v>
      </c>
      <c r="N18" s="7">
        <f t="shared" si="0"/>
        <v>144</v>
      </c>
      <c r="O18" s="5"/>
    </row>
    <row r="19" spans="1:15" x14ac:dyDescent="0.3">
      <c r="A19" s="3" t="s">
        <v>17</v>
      </c>
      <c r="B19" s="7">
        <v>10</v>
      </c>
      <c r="C19" s="7">
        <v>18</v>
      </c>
      <c r="D19" s="7">
        <v>17</v>
      </c>
      <c r="E19" s="7">
        <v>30</v>
      </c>
      <c r="F19" s="7">
        <v>56</v>
      </c>
      <c r="G19" s="7">
        <v>41</v>
      </c>
      <c r="H19" s="7">
        <v>59</v>
      </c>
      <c r="I19" s="7">
        <v>56</v>
      </c>
      <c r="J19" s="7">
        <v>34</v>
      </c>
      <c r="K19" s="7">
        <v>24</v>
      </c>
      <c r="L19" s="7">
        <v>19</v>
      </c>
      <c r="M19" s="7">
        <v>7</v>
      </c>
      <c r="N19" s="7">
        <f t="shared" si="0"/>
        <v>371</v>
      </c>
      <c r="O19" s="5"/>
    </row>
    <row r="20" spans="1:15" x14ac:dyDescent="0.3">
      <c r="A20" s="3" t="s">
        <v>18</v>
      </c>
      <c r="B20" s="7">
        <v>155</v>
      </c>
      <c r="C20" s="7">
        <v>139</v>
      </c>
      <c r="D20" s="7">
        <v>192</v>
      </c>
      <c r="E20" s="7">
        <v>216</v>
      </c>
      <c r="F20" s="7">
        <v>202</v>
      </c>
      <c r="G20" s="7">
        <v>125</v>
      </c>
      <c r="H20" s="7">
        <v>208</v>
      </c>
      <c r="I20" s="7">
        <v>202</v>
      </c>
      <c r="J20" s="7">
        <v>184</v>
      </c>
      <c r="K20" s="7">
        <v>203</v>
      </c>
      <c r="L20" s="7">
        <v>148</v>
      </c>
      <c r="M20" s="7">
        <v>117</v>
      </c>
      <c r="N20" s="7">
        <f t="shared" si="0"/>
        <v>2091</v>
      </c>
      <c r="O20" s="5"/>
    </row>
    <row r="21" spans="1:15" x14ac:dyDescent="0.3">
      <c r="A21" s="3" t="s">
        <v>19</v>
      </c>
      <c r="B21" s="7">
        <v>63</v>
      </c>
      <c r="C21" s="7">
        <v>73</v>
      </c>
      <c r="D21" s="7">
        <v>60</v>
      </c>
      <c r="E21" s="7">
        <v>77</v>
      </c>
      <c r="F21" s="7">
        <v>82</v>
      </c>
      <c r="G21" s="7">
        <v>59</v>
      </c>
      <c r="H21" s="7">
        <v>107</v>
      </c>
      <c r="I21" s="7">
        <v>56</v>
      </c>
      <c r="J21" s="7">
        <v>61</v>
      </c>
      <c r="K21" s="7">
        <v>58</v>
      </c>
      <c r="L21" s="7">
        <v>35</v>
      </c>
      <c r="M21" s="7">
        <v>76</v>
      </c>
      <c r="N21" s="7">
        <f t="shared" si="0"/>
        <v>807</v>
      </c>
      <c r="O21" s="5"/>
    </row>
    <row r="22" spans="1:15" x14ac:dyDescent="0.3">
      <c r="A22" s="3" t="s">
        <v>20</v>
      </c>
      <c r="B22" s="7">
        <v>18</v>
      </c>
      <c r="C22" s="7">
        <v>16</v>
      </c>
      <c r="D22" s="7">
        <v>24</v>
      </c>
      <c r="E22" s="7">
        <v>19</v>
      </c>
      <c r="F22" s="7">
        <v>38</v>
      </c>
      <c r="G22" s="7">
        <v>25</v>
      </c>
      <c r="H22" s="7">
        <v>49</v>
      </c>
      <c r="I22" s="7">
        <v>51</v>
      </c>
      <c r="J22" s="7">
        <v>30</v>
      </c>
      <c r="K22" s="7">
        <v>20</v>
      </c>
      <c r="L22" s="7">
        <v>12</v>
      </c>
      <c r="M22" s="7">
        <v>16</v>
      </c>
      <c r="N22" s="7">
        <f t="shared" si="0"/>
        <v>318</v>
      </c>
      <c r="O22" s="5"/>
    </row>
    <row r="23" spans="1:15" x14ac:dyDescent="0.3">
      <c r="A23" s="3" t="s">
        <v>21</v>
      </c>
      <c r="B23" s="7">
        <v>37</v>
      </c>
      <c r="C23" s="7">
        <v>15</v>
      </c>
      <c r="D23" s="7">
        <v>25</v>
      </c>
      <c r="E23" s="7">
        <v>30</v>
      </c>
      <c r="F23" s="7">
        <v>54</v>
      </c>
      <c r="G23" s="7">
        <v>22</v>
      </c>
      <c r="H23" s="7">
        <v>66</v>
      </c>
      <c r="I23" s="7">
        <v>48</v>
      </c>
      <c r="J23" s="7">
        <v>36</v>
      </c>
      <c r="K23" s="7">
        <v>27</v>
      </c>
      <c r="L23" s="7">
        <v>18</v>
      </c>
      <c r="M23" s="7">
        <v>17</v>
      </c>
      <c r="N23" s="7">
        <f t="shared" si="0"/>
        <v>395</v>
      </c>
      <c r="O23" s="5"/>
    </row>
    <row r="24" spans="1:15" x14ac:dyDescent="0.3">
      <c r="A24" s="3" t="s">
        <v>22</v>
      </c>
      <c r="B24" s="7">
        <v>10</v>
      </c>
      <c r="C24" s="7">
        <v>7</v>
      </c>
      <c r="D24" s="7">
        <v>5</v>
      </c>
      <c r="E24" s="7">
        <v>4</v>
      </c>
      <c r="F24" s="7">
        <v>11</v>
      </c>
      <c r="G24" s="7">
        <v>5</v>
      </c>
      <c r="H24" s="7">
        <v>8</v>
      </c>
      <c r="I24" s="7">
        <v>14</v>
      </c>
      <c r="J24" s="7">
        <v>4</v>
      </c>
      <c r="K24" s="7">
        <v>6</v>
      </c>
      <c r="L24" s="7">
        <v>3</v>
      </c>
      <c r="M24" s="7">
        <v>6</v>
      </c>
      <c r="N24" s="7">
        <f t="shared" si="0"/>
        <v>83</v>
      </c>
      <c r="O24" s="5"/>
    </row>
    <row r="25" spans="1:15" x14ac:dyDescent="0.3">
      <c r="A25" s="3" t="s">
        <v>23</v>
      </c>
      <c r="B25" s="7">
        <v>6</v>
      </c>
      <c r="C25" s="7">
        <v>5</v>
      </c>
      <c r="D25" s="7">
        <v>7</v>
      </c>
      <c r="E25" s="7">
        <v>16</v>
      </c>
      <c r="F25" s="7">
        <v>7</v>
      </c>
      <c r="G25" s="7">
        <v>11</v>
      </c>
      <c r="H25" s="7">
        <v>18</v>
      </c>
      <c r="I25" s="7">
        <v>19</v>
      </c>
      <c r="J25" s="7">
        <v>24</v>
      </c>
      <c r="K25" s="7">
        <v>10</v>
      </c>
      <c r="L25" s="7">
        <v>12</v>
      </c>
      <c r="M25" s="7">
        <v>5</v>
      </c>
      <c r="N25" s="7">
        <f t="shared" si="0"/>
        <v>140</v>
      </c>
      <c r="O25" s="5"/>
    </row>
    <row r="26" spans="1:15" x14ac:dyDescent="0.3">
      <c r="A26" s="3" t="s">
        <v>24</v>
      </c>
      <c r="B26" s="7">
        <v>2</v>
      </c>
      <c r="C26" s="7">
        <v>1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5</v>
      </c>
      <c r="K26" s="7">
        <v>0</v>
      </c>
      <c r="L26" s="7">
        <v>0</v>
      </c>
      <c r="M26" s="7">
        <v>0</v>
      </c>
      <c r="N26" s="7">
        <f t="shared" si="0"/>
        <v>8</v>
      </c>
      <c r="O26" s="5"/>
    </row>
    <row r="27" spans="1:15" x14ac:dyDescent="0.3">
      <c r="A27" s="3" t="s">
        <v>25</v>
      </c>
      <c r="B27" s="7">
        <v>1</v>
      </c>
      <c r="C27" s="7">
        <v>2</v>
      </c>
      <c r="D27" s="7">
        <v>2</v>
      </c>
      <c r="E27" s="7">
        <v>2</v>
      </c>
      <c r="F27" s="7">
        <v>2</v>
      </c>
      <c r="G27" s="7">
        <v>0</v>
      </c>
      <c r="H27" s="7">
        <v>0</v>
      </c>
      <c r="I27" s="7">
        <v>7</v>
      </c>
      <c r="J27" s="7">
        <v>0</v>
      </c>
      <c r="K27" s="7">
        <v>0</v>
      </c>
      <c r="L27" s="7">
        <v>0</v>
      </c>
      <c r="M27" s="7">
        <v>0</v>
      </c>
      <c r="N27" s="7">
        <f t="shared" si="0"/>
        <v>16</v>
      </c>
      <c r="O27" s="5"/>
    </row>
    <row r="28" spans="1:15" x14ac:dyDescent="0.3">
      <c r="A28" s="3" t="s">
        <v>26</v>
      </c>
      <c r="B28" s="7">
        <v>684</v>
      </c>
      <c r="C28" s="7">
        <v>630</v>
      </c>
      <c r="D28" s="7">
        <v>675</v>
      </c>
      <c r="E28" s="7">
        <v>691</v>
      </c>
      <c r="F28" s="7">
        <v>726</v>
      </c>
      <c r="G28" s="7">
        <v>656</v>
      </c>
      <c r="H28" s="7">
        <v>765</v>
      </c>
      <c r="I28" s="7">
        <v>772</v>
      </c>
      <c r="J28" s="7">
        <v>696</v>
      </c>
      <c r="K28" s="7">
        <v>690</v>
      </c>
      <c r="L28" s="8">
        <v>644</v>
      </c>
      <c r="M28" s="8">
        <v>669</v>
      </c>
      <c r="N28" s="7">
        <f t="shared" si="0"/>
        <v>8298</v>
      </c>
      <c r="O28" s="5"/>
    </row>
    <row r="29" spans="1:15" x14ac:dyDescent="0.3">
      <c r="A29" s="3" t="s">
        <v>27</v>
      </c>
      <c r="B29" s="7">
        <v>257</v>
      </c>
      <c r="C29" s="7">
        <v>286</v>
      </c>
      <c r="D29" s="7">
        <v>242</v>
      </c>
      <c r="E29" s="7">
        <v>225</v>
      </c>
      <c r="F29" s="7">
        <v>302</v>
      </c>
      <c r="G29" s="7">
        <v>275</v>
      </c>
      <c r="H29" s="7">
        <v>394</v>
      </c>
      <c r="I29" s="7">
        <v>472</v>
      </c>
      <c r="J29" s="7">
        <v>231</v>
      </c>
      <c r="K29" s="7">
        <v>220</v>
      </c>
      <c r="L29" s="7">
        <v>230</v>
      </c>
      <c r="M29" s="7">
        <v>246</v>
      </c>
      <c r="N29" s="7">
        <f t="shared" si="0"/>
        <v>3380</v>
      </c>
      <c r="O29" s="5"/>
    </row>
    <row r="30" spans="1:15" x14ac:dyDescent="0.3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5"/>
    </row>
    <row r="31" spans="1:15" ht="16.2" x14ac:dyDescent="0.3">
      <c r="A31" s="12" t="s">
        <v>50</v>
      </c>
      <c r="B31" s="30">
        <f>B4+B5+B9+B10+B11+B20+B21+B22+B23+B24+B25+B27+B12</f>
        <v>7778</v>
      </c>
      <c r="C31" s="30">
        <f t="shared" ref="C31:M31" si="1">C4+C5+C9+C10+C11+C20+C21+C22+C23+C24+C25+C27+C12</f>
        <v>7713</v>
      </c>
      <c r="D31" s="30">
        <f t="shared" si="1"/>
        <v>8095</v>
      </c>
      <c r="E31" s="30">
        <f t="shared" si="1"/>
        <v>9098</v>
      </c>
      <c r="F31" s="30">
        <f t="shared" si="1"/>
        <v>10309</v>
      </c>
      <c r="G31" s="30">
        <f t="shared" si="1"/>
        <v>7006</v>
      </c>
      <c r="H31" s="30">
        <f t="shared" si="1"/>
        <v>9733</v>
      </c>
      <c r="I31" s="30">
        <f t="shared" si="1"/>
        <v>10391</v>
      </c>
      <c r="J31" s="30">
        <f t="shared" si="1"/>
        <v>8482</v>
      </c>
      <c r="K31" s="30">
        <f t="shared" si="1"/>
        <v>7939</v>
      </c>
      <c r="L31" s="30">
        <f t="shared" si="1"/>
        <v>7837</v>
      </c>
      <c r="M31" s="30">
        <f t="shared" si="1"/>
        <v>7955</v>
      </c>
      <c r="N31" s="9">
        <f>SUM(B31:M31)</f>
        <v>102336</v>
      </c>
      <c r="O31" s="5"/>
    </row>
    <row r="32" spans="1:15" ht="16.2" x14ac:dyDescent="0.3">
      <c r="A32" s="12" t="s">
        <v>28</v>
      </c>
      <c r="B32" s="30">
        <f>B4+B5+B6+B7+B8+B9+B10+B11+B12+B15+B17+B20+B21+B22+B23+B24+B25+B27+B29</f>
        <v>12880</v>
      </c>
      <c r="C32" s="30">
        <f t="shared" ref="C32:M32" si="2">C4+C5+C6+C7+C8+C9+C10+C11+C12+C15+C17+C20+C21+C22+C23+C24+C25+C27+C29</f>
        <v>12945</v>
      </c>
      <c r="D32" s="30">
        <f t="shared" si="2"/>
        <v>14021</v>
      </c>
      <c r="E32" s="30">
        <f t="shared" si="2"/>
        <v>15736</v>
      </c>
      <c r="F32" s="30">
        <f t="shared" si="2"/>
        <v>18387</v>
      </c>
      <c r="G32" s="30">
        <f t="shared" si="2"/>
        <v>17226</v>
      </c>
      <c r="H32" s="30">
        <f t="shared" si="2"/>
        <v>20389</v>
      </c>
      <c r="I32" s="30">
        <f t="shared" si="2"/>
        <v>21273</v>
      </c>
      <c r="J32" s="30">
        <f t="shared" si="2"/>
        <v>15316</v>
      </c>
      <c r="K32" s="30">
        <f t="shared" si="2"/>
        <v>13767</v>
      </c>
      <c r="L32" s="30">
        <f t="shared" si="2"/>
        <v>14105</v>
      </c>
      <c r="M32" s="30">
        <f t="shared" si="2"/>
        <v>13430</v>
      </c>
      <c r="N32" s="9">
        <f>SUM(B32:M32)</f>
        <v>189475</v>
      </c>
      <c r="O32" s="5"/>
    </row>
    <row r="33" spans="1:14" ht="16.2" x14ac:dyDescent="0.3">
      <c r="A33" s="12" t="s">
        <v>46</v>
      </c>
      <c r="B33" s="30">
        <f>SUM(B4:B29)-B14-B16-B28-B29-B15</f>
        <v>11854</v>
      </c>
      <c r="C33" s="30">
        <f t="shared" ref="C33:M33" si="3">SUM(C4:C29)-C14-C16-C28-C29-C15</f>
        <v>11959</v>
      </c>
      <c r="D33" s="30">
        <f t="shared" si="3"/>
        <v>12943</v>
      </c>
      <c r="E33" s="30">
        <f t="shared" si="3"/>
        <v>14914</v>
      </c>
      <c r="F33" s="30">
        <f t="shared" si="3"/>
        <v>17172</v>
      </c>
      <c r="G33" s="30">
        <f t="shared" si="3"/>
        <v>16666</v>
      </c>
      <c r="H33" s="30">
        <f t="shared" si="3"/>
        <v>20067</v>
      </c>
      <c r="I33" s="30">
        <f t="shared" si="3"/>
        <v>20876</v>
      </c>
      <c r="J33" s="30">
        <f t="shared" si="3"/>
        <v>14417</v>
      </c>
      <c r="K33" s="30">
        <f t="shared" si="3"/>
        <v>12897</v>
      </c>
      <c r="L33" s="30">
        <f t="shared" si="3"/>
        <v>13196</v>
      </c>
      <c r="M33" s="30">
        <f t="shared" si="3"/>
        <v>12761</v>
      </c>
      <c r="N33" s="9">
        <f>SUM(B33:M33)</f>
        <v>179722</v>
      </c>
    </row>
    <row r="34" spans="1:14" ht="16.2" x14ac:dyDescent="0.3">
      <c r="A34" s="12" t="s">
        <v>51</v>
      </c>
      <c r="B34" s="30">
        <f>+B29+B15</f>
        <v>1070</v>
      </c>
      <c r="C34" s="30">
        <f t="shared" ref="C34:M34" si="4">+C29+C15</f>
        <v>1028</v>
      </c>
      <c r="D34" s="30">
        <f t="shared" si="4"/>
        <v>1121</v>
      </c>
      <c r="E34" s="30">
        <f t="shared" si="4"/>
        <v>883</v>
      </c>
      <c r="F34" s="30">
        <f t="shared" si="4"/>
        <v>1307</v>
      </c>
      <c r="G34" s="30">
        <f t="shared" si="4"/>
        <v>624</v>
      </c>
      <c r="H34" s="30">
        <f t="shared" si="4"/>
        <v>394</v>
      </c>
      <c r="I34" s="30">
        <f t="shared" si="4"/>
        <v>472</v>
      </c>
      <c r="J34" s="30">
        <f t="shared" si="4"/>
        <v>973</v>
      </c>
      <c r="K34" s="30">
        <f t="shared" si="4"/>
        <v>935</v>
      </c>
      <c r="L34" s="30">
        <f t="shared" si="4"/>
        <v>952</v>
      </c>
      <c r="M34" s="30">
        <f t="shared" si="4"/>
        <v>701</v>
      </c>
      <c r="N34" s="9">
        <f>SUM(B34:M34)</f>
        <v>10460</v>
      </c>
    </row>
    <row r="35" spans="1:14" ht="16.2" x14ac:dyDescent="0.3">
      <c r="A35" s="12" t="s">
        <v>52</v>
      </c>
      <c r="B35" s="30">
        <f>+B6+B7+B8+B17+B29+B15</f>
        <v>5102</v>
      </c>
      <c r="C35" s="30">
        <f t="shared" ref="C35:L35" si="5">+C6+C7+C8+C17+C29+C15</f>
        <v>5232</v>
      </c>
      <c r="D35" s="30">
        <f t="shared" si="5"/>
        <v>5926</v>
      </c>
      <c r="E35" s="30">
        <f t="shared" si="5"/>
        <v>6638</v>
      </c>
      <c r="F35" s="30">
        <f t="shared" si="5"/>
        <v>8078</v>
      </c>
      <c r="G35" s="30">
        <f t="shared" si="5"/>
        <v>10220</v>
      </c>
      <c r="H35" s="30">
        <f t="shared" si="5"/>
        <v>10656</v>
      </c>
      <c r="I35" s="30">
        <f t="shared" si="5"/>
        <v>10882</v>
      </c>
      <c r="J35" s="30">
        <f t="shared" si="5"/>
        <v>6834</v>
      </c>
      <c r="K35" s="30">
        <f t="shared" si="5"/>
        <v>5828</v>
      </c>
      <c r="L35" s="30">
        <f t="shared" si="5"/>
        <v>6268</v>
      </c>
      <c r="M35" s="30">
        <f>+M6+M7+M8+M17+M29+M15</f>
        <v>5475</v>
      </c>
      <c r="N35" s="9">
        <f>SUM(B35:M35)</f>
        <v>87139</v>
      </c>
    </row>
    <row r="36" spans="1:14" ht="16.2" x14ac:dyDescent="0.3">
      <c r="A36" s="15"/>
      <c r="B36" s="18">
        <f t="shared" ref="B36:N36" si="6">SUM(B4:B29)</f>
        <v>13628</v>
      </c>
      <c r="C36" s="18">
        <f t="shared" si="6"/>
        <v>13655</v>
      </c>
      <c r="D36" s="18">
        <f t="shared" si="6"/>
        <v>14792</v>
      </c>
      <c r="E36" s="18">
        <f t="shared" si="6"/>
        <v>16552</v>
      </c>
      <c r="F36" s="18">
        <f t="shared" si="6"/>
        <v>21263</v>
      </c>
      <c r="G36" s="18">
        <f t="shared" si="6"/>
        <v>19299</v>
      </c>
      <c r="H36" s="18">
        <f t="shared" si="6"/>
        <v>24023</v>
      </c>
      <c r="I36" s="18">
        <f t="shared" si="6"/>
        <v>25226</v>
      </c>
      <c r="J36" s="18">
        <f t="shared" si="6"/>
        <v>18029</v>
      </c>
      <c r="K36" s="18">
        <f t="shared" si="6"/>
        <v>14609</v>
      </c>
      <c r="L36" s="18">
        <f t="shared" si="6"/>
        <v>14863</v>
      </c>
      <c r="M36" s="18">
        <f t="shared" si="6"/>
        <v>14161</v>
      </c>
      <c r="N36" s="18">
        <f t="shared" si="6"/>
        <v>210100</v>
      </c>
    </row>
    <row r="37" spans="1:14" ht="16.2" x14ac:dyDescent="0.3">
      <c r="A37" s="19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14" ht="16.2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 ht="16.2" x14ac:dyDescent="0.3">
      <c r="A39" s="104" t="s">
        <v>47</v>
      </c>
      <c r="B39" s="104"/>
      <c r="C39" s="104"/>
      <c r="D39" s="104"/>
      <c r="E39" s="104"/>
      <c r="F39" s="104"/>
      <c r="G39" s="104"/>
      <c r="H39" s="104"/>
      <c r="I39" s="104"/>
      <c r="J39" s="11"/>
      <c r="K39" s="11"/>
      <c r="L39" s="11"/>
      <c r="M39" s="11"/>
      <c r="N39" s="11"/>
    </row>
    <row r="40" spans="1:14" ht="16.2" x14ac:dyDescent="0.3">
      <c r="A40" s="105" t="s">
        <v>48</v>
      </c>
      <c r="B40" s="105"/>
      <c r="C40" s="105"/>
      <c r="D40" s="105"/>
      <c r="E40" s="105"/>
      <c r="F40" s="105"/>
      <c r="G40" s="105"/>
      <c r="H40" s="105"/>
      <c r="I40" s="105"/>
      <c r="J40" s="11"/>
      <c r="K40" s="11"/>
      <c r="L40" s="11"/>
      <c r="M40" s="11"/>
      <c r="N40" s="11"/>
    </row>
    <row r="41" spans="1:14" ht="16.2" x14ac:dyDescent="0.3">
      <c r="A41" s="105" t="s">
        <v>53</v>
      </c>
      <c r="B41" s="105"/>
      <c r="C41" s="105"/>
      <c r="D41" s="105"/>
      <c r="E41" s="105"/>
      <c r="F41" s="105"/>
      <c r="G41" s="105"/>
      <c r="H41" s="105"/>
      <c r="I41" s="105"/>
      <c r="J41" s="11"/>
      <c r="K41" s="11"/>
      <c r="L41" s="11"/>
      <c r="M41" s="11"/>
      <c r="N41" s="11"/>
    </row>
    <row r="42" spans="1:14" ht="16.2" x14ac:dyDescent="0.3">
      <c r="A42" s="106" t="s">
        <v>49</v>
      </c>
      <c r="B42" s="106"/>
      <c r="C42" s="106"/>
      <c r="D42" s="106"/>
      <c r="E42" s="106"/>
      <c r="F42" s="106"/>
      <c r="G42" s="106"/>
      <c r="H42" s="106"/>
      <c r="I42" s="106"/>
      <c r="J42" s="11"/>
      <c r="K42" s="11"/>
      <c r="L42" s="11"/>
      <c r="M42" s="11"/>
      <c r="N42" s="11"/>
    </row>
  </sheetData>
  <mergeCells count="4">
    <mergeCell ref="A39:I39"/>
    <mergeCell ref="A40:I40"/>
    <mergeCell ref="A41:I41"/>
    <mergeCell ref="A42:I42"/>
  </mergeCells>
  <phoneticPr fontId="0" type="noConversion"/>
  <pageMargins left="0.76" right="0.74" top="1" bottom="1" header="0.5" footer="0.5"/>
  <pageSetup scale="88" orientation="landscape" r:id="rId1"/>
  <headerFooter alignWithMargins="0">
    <oddFooter>&amp;L&amp;F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O42"/>
  <sheetViews>
    <sheetView topLeftCell="A19" workbookViewId="0">
      <selection activeCell="M31" sqref="M31"/>
    </sheetView>
  </sheetViews>
  <sheetFormatPr defaultRowHeight="15" x14ac:dyDescent="0.25"/>
  <cols>
    <col min="1" max="1" width="18" bestFit="1" customWidth="1"/>
    <col min="2" max="4" width="6.58203125" bestFit="1" customWidth="1"/>
    <col min="5" max="5" width="6.33203125" bestFit="1" customWidth="1"/>
    <col min="6" max="9" width="6.75" bestFit="1" customWidth="1"/>
    <col min="10" max="10" width="6.58203125" bestFit="1" customWidth="1"/>
    <col min="11" max="11" width="6.33203125" bestFit="1" customWidth="1"/>
    <col min="12" max="12" width="6.58203125" bestFit="1" customWidth="1"/>
    <col min="13" max="13" width="6.33203125" bestFit="1" customWidth="1"/>
    <col min="14" max="14" width="7.4140625" bestFit="1" customWidth="1"/>
  </cols>
  <sheetData>
    <row r="1" spans="1:15" ht="15.6" x14ac:dyDescent="0.3">
      <c r="A1" s="20" t="s">
        <v>45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"/>
    </row>
    <row r="2" spans="1:15" ht="15.6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"/>
    </row>
    <row r="3" spans="1:15" ht="15.6" x14ac:dyDescent="0.3">
      <c r="A3" s="24" t="s">
        <v>1</v>
      </c>
      <c r="B3" s="25" t="s">
        <v>29</v>
      </c>
      <c r="C3" s="25" t="s">
        <v>30</v>
      </c>
      <c r="D3" s="25" t="s">
        <v>31</v>
      </c>
      <c r="E3" s="25" t="s">
        <v>32</v>
      </c>
      <c r="F3" s="25" t="s">
        <v>33</v>
      </c>
      <c r="G3" s="25" t="s">
        <v>34</v>
      </c>
      <c r="H3" s="25" t="s">
        <v>35</v>
      </c>
      <c r="I3" s="25" t="s">
        <v>36</v>
      </c>
      <c r="J3" s="25" t="s">
        <v>37</v>
      </c>
      <c r="K3" s="25" t="s">
        <v>38</v>
      </c>
      <c r="L3" s="25" t="s">
        <v>39</v>
      </c>
      <c r="M3" s="25" t="s">
        <v>40</v>
      </c>
      <c r="N3" s="25" t="s">
        <v>41</v>
      </c>
      <c r="O3" s="5"/>
    </row>
    <row r="4" spans="1:15" ht="15.6" x14ac:dyDescent="0.3">
      <c r="A4" s="26" t="s">
        <v>2</v>
      </c>
      <c r="B4" s="27">
        <v>494</v>
      </c>
      <c r="C4" s="27">
        <v>468</v>
      </c>
      <c r="D4" s="27">
        <v>819</v>
      </c>
      <c r="E4" s="27">
        <v>793</v>
      </c>
      <c r="F4" s="27">
        <v>780</v>
      </c>
      <c r="G4" s="27">
        <v>793</v>
      </c>
      <c r="H4" s="27">
        <v>715</v>
      </c>
      <c r="I4" s="27">
        <v>1170</v>
      </c>
      <c r="J4" s="27">
        <v>598</v>
      </c>
      <c r="K4" s="27">
        <v>598</v>
      </c>
      <c r="L4" s="27">
        <v>507</v>
      </c>
      <c r="M4" s="27">
        <v>364</v>
      </c>
      <c r="N4" s="27">
        <f t="shared" ref="N4:N29" si="0">SUM(B4:M4)</f>
        <v>8099</v>
      </c>
      <c r="O4" s="5"/>
    </row>
    <row r="5" spans="1:15" ht="15.6" x14ac:dyDescent="0.3">
      <c r="A5" s="26" t="s">
        <v>3</v>
      </c>
      <c r="B5" s="27">
        <v>4950</v>
      </c>
      <c r="C5" s="27">
        <v>5450</v>
      </c>
      <c r="D5" s="27">
        <v>6400</v>
      </c>
      <c r="E5" s="27">
        <v>6325</v>
      </c>
      <c r="F5" s="27">
        <v>6950</v>
      </c>
      <c r="G5" s="27">
        <v>6750</v>
      </c>
      <c r="H5" s="27">
        <v>5925</v>
      </c>
      <c r="I5" s="27">
        <v>6300</v>
      </c>
      <c r="J5" s="27">
        <v>5850</v>
      </c>
      <c r="K5" s="27">
        <v>5850</v>
      </c>
      <c r="L5" s="27">
        <v>5725</v>
      </c>
      <c r="M5" s="27">
        <v>5575</v>
      </c>
      <c r="N5" s="27">
        <f t="shared" si="0"/>
        <v>72050</v>
      </c>
      <c r="O5" s="5"/>
    </row>
    <row r="6" spans="1:15" ht="15.6" x14ac:dyDescent="0.3">
      <c r="A6" s="26" t="s">
        <v>4</v>
      </c>
      <c r="B6" s="27">
        <v>2950</v>
      </c>
      <c r="C6" s="27">
        <v>2500</v>
      </c>
      <c r="D6" s="27">
        <v>2900</v>
      </c>
      <c r="E6" s="27">
        <v>2550</v>
      </c>
      <c r="F6" s="27">
        <v>3675</v>
      </c>
      <c r="G6" s="27">
        <v>3775</v>
      </c>
      <c r="H6" s="27">
        <v>4625</v>
      </c>
      <c r="I6" s="27">
        <v>3675</v>
      </c>
      <c r="J6" s="27">
        <v>2850</v>
      </c>
      <c r="K6" s="27">
        <v>2300</v>
      </c>
      <c r="L6" s="27">
        <v>2800</v>
      </c>
      <c r="M6" s="27">
        <v>2000</v>
      </c>
      <c r="N6" s="27">
        <f t="shared" si="0"/>
        <v>36600</v>
      </c>
      <c r="O6" s="5"/>
    </row>
    <row r="7" spans="1:15" ht="15.6" x14ac:dyDescent="0.3">
      <c r="A7" s="26" t="s">
        <v>5</v>
      </c>
      <c r="B7" s="27">
        <v>967</v>
      </c>
      <c r="C7" s="27">
        <v>1033</v>
      </c>
      <c r="D7" s="27">
        <v>1335</v>
      </c>
      <c r="E7" s="27">
        <v>1400</v>
      </c>
      <c r="F7" s="27">
        <v>1725</v>
      </c>
      <c r="G7" s="27">
        <v>1899</v>
      </c>
      <c r="H7" s="27">
        <v>3505</v>
      </c>
      <c r="I7" s="27">
        <v>3599</v>
      </c>
      <c r="J7" s="27">
        <v>2016</v>
      </c>
      <c r="K7" s="27">
        <v>1258</v>
      </c>
      <c r="L7" s="27">
        <v>1453</v>
      </c>
      <c r="M7" s="27">
        <v>824</v>
      </c>
      <c r="N7" s="27">
        <f t="shared" si="0"/>
        <v>21014</v>
      </c>
      <c r="O7" s="5"/>
    </row>
    <row r="8" spans="1:15" ht="15.6" x14ac:dyDescent="0.3">
      <c r="A8" s="26" t="s">
        <v>6</v>
      </c>
      <c r="B8" s="27">
        <v>272</v>
      </c>
      <c r="C8" s="27">
        <v>404</v>
      </c>
      <c r="D8" s="27">
        <v>548</v>
      </c>
      <c r="E8" s="27">
        <v>673</v>
      </c>
      <c r="F8" s="27">
        <v>663</v>
      </c>
      <c r="G8" s="27">
        <v>941</v>
      </c>
      <c r="H8" s="27">
        <v>1570</v>
      </c>
      <c r="I8" s="27">
        <v>1779</v>
      </c>
      <c r="J8" s="27">
        <v>727</v>
      </c>
      <c r="K8" s="27">
        <v>420</v>
      </c>
      <c r="L8" s="27">
        <v>515</v>
      </c>
      <c r="M8" s="27">
        <v>335</v>
      </c>
      <c r="N8" s="27">
        <f t="shared" si="0"/>
        <v>8847</v>
      </c>
      <c r="O8" s="5"/>
    </row>
    <row r="9" spans="1:15" ht="15.6" x14ac:dyDescent="0.3">
      <c r="A9" s="26" t="s">
        <v>7</v>
      </c>
      <c r="B9" s="27">
        <v>618</v>
      </c>
      <c r="C9" s="27">
        <v>891</v>
      </c>
      <c r="D9" s="27">
        <v>1114</v>
      </c>
      <c r="E9" s="27">
        <v>1205</v>
      </c>
      <c r="F9" s="27">
        <v>1426</v>
      </c>
      <c r="G9" s="27">
        <v>1516</v>
      </c>
      <c r="H9" s="27">
        <v>2175</v>
      </c>
      <c r="I9" s="27">
        <v>2493</v>
      </c>
      <c r="J9" s="27">
        <v>1433</v>
      </c>
      <c r="K9" s="27">
        <v>1124</v>
      </c>
      <c r="L9" s="27">
        <v>1207</v>
      </c>
      <c r="M9" s="27">
        <v>731</v>
      </c>
      <c r="N9" s="27">
        <f t="shared" si="0"/>
        <v>15933</v>
      </c>
      <c r="O9" s="5"/>
    </row>
    <row r="10" spans="1:15" ht="15.6" x14ac:dyDescent="0.3">
      <c r="A10" s="26" t="s">
        <v>8</v>
      </c>
      <c r="B10" s="27">
        <v>4</v>
      </c>
      <c r="C10" s="27">
        <v>1</v>
      </c>
      <c r="D10" s="27">
        <v>1</v>
      </c>
      <c r="E10" s="27">
        <v>1</v>
      </c>
      <c r="F10" s="27">
        <v>7</v>
      </c>
      <c r="G10" s="27">
        <v>5</v>
      </c>
      <c r="H10" s="27">
        <v>0</v>
      </c>
      <c r="I10" s="27">
        <v>0</v>
      </c>
      <c r="J10" s="27">
        <v>6</v>
      </c>
      <c r="K10" s="27">
        <v>6</v>
      </c>
      <c r="L10" s="27">
        <v>3</v>
      </c>
      <c r="M10" s="27">
        <v>0</v>
      </c>
      <c r="N10" s="27">
        <f t="shared" si="0"/>
        <v>34</v>
      </c>
      <c r="O10" s="5"/>
    </row>
    <row r="11" spans="1:15" ht="15.6" x14ac:dyDescent="0.3">
      <c r="A11" s="26" t="s">
        <v>9</v>
      </c>
      <c r="B11" s="27">
        <v>9</v>
      </c>
      <c r="C11" s="27">
        <v>9</v>
      </c>
      <c r="D11" s="27">
        <v>7</v>
      </c>
      <c r="E11" s="27">
        <v>8</v>
      </c>
      <c r="F11" s="27">
        <v>13</v>
      </c>
      <c r="G11" s="27">
        <v>5</v>
      </c>
      <c r="H11" s="27">
        <v>10</v>
      </c>
      <c r="I11" s="27">
        <v>6</v>
      </c>
      <c r="J11" s="27">
        <v>6</v>
      </c>
      <c r="K11" s="27">
        <v>8</v>
      </c>
      <c r="L11" s="27">
        <v>11</v>
      </c>
      <c r="M11" s="27">
        <v>15</v>
      </c>
      <c r="N11" s="27">
        <f t="shared" si="0"/>
        <v>107</v>
      </c>
      <c r="O11" s="5"/>
    </row>
    <row r="12" spans="1:15" ht="15.6" x14ac:dyDescent="0.3">
      <c r="A12" s="26" t="s">
        <v>10</v>
      </c>
      <c r="B12" s="27">
        <v>5</v>
      </c>
      <c r="C12" s="27">
        <v>3</v>
      </c>
      <c r="D12" s="27">
        <v>9</v>
      </c>
      <c r="E12" s="27">
        <v>6</v>
      </c>
      <c r="F12" s="27">
        <v>13</v>
      </c>
      <c r="G12" s="27">
        <v>25</v>
      </c>
      <c r="H12" s="27">
        <v>18</v>
      </c>
      <c r="I12" s="27">
        <v>40</v>
      </c>
      <c r="J12" s="27">
        <v>16</v>
      </c>
      <c r="K12" s="27">
        <v>2</v>
      </c>
      <c r="L12" s="27">
        <v>0</v>
      </c>
      <c r="M12" s="27">
        <v>4</v>
      </c>
      <c r="N12" s="27">
        <f t="shared" si="0"/>
        <v>141</v>
      </c>
      <c r="O12" s="5"/>
    </row>
    <row r="13" spans="1:15" ht="15.6" x14ac:dyDescent="0.3">
      <c r="A13" s="26" t="s">
        <v>11</v>
      </c>
      <c r="B13" s="27">
        <v>20</v>
      </c>
      <c r="C13" s="27">
        <v>20</v>
      </c>
      <c r="D13" s="27">
        <v>21</v>
      </c>
      <c r="E13" s="27">
        <v>17</v>
      </c>
      <c r="F13" s="27">
        <v>22</v>
      </c>
      <c r="G13" s="27">
        <v>0</v>
      </c>
      <c r="H13" s="27">
        <v>0</v>
      </c>
      <c r="I13" s="27">
        <v>0</v>
      </c>
      <c r="J13" s="27">
        <v>19</v>
      </c>
      <c r="K13" s="27">
        <v>22</v>
      </c>
      <c r="L13" s="28">
        <v>18</v>
      </c>
      <c r="M13" s="28">
        <v>15</v>
      </c>
      <c r="N13" s="27">
        <f t="shared" si="0"/>
        <v>174</v>
      </c>
      <c r="O13" s="5"/>
    </row>
    <row r="14" spans="1:15" ht="15.6" x14ac:dyDescent="0.3">
      <c r="A14" s="26" t="s">
        <v>12</v>
      </c>
      <c r="B14" s="27">
        <v>26</v>
      </c>
      <c r="C14" s="27">
        <v>61</v>
      </c>
      <c r="D14" s="27">
        <v>31</v>
      </c>
      <c r="E14" s="27">
        <v>69</v>
      </c>
      <c r="F14" s="27">
        <v>63</v>
      </c>
      <c r="G14" s="27">
        <v>81</v>
      </c>
      <c r="H14" s="27">
        <v>58.5</v>
      </c>
      <c r="I14" s="27">
        <v>132</v>
      </c>
      <c r="J14" s="27">
        <v>118</v>
      </c>
      <c r="K14" s="27">
        <v>87</v>
      </c>
      <c r="L14" s="27">
        <v>48</v>
      </c>
      <c r="M14" s="27">
        <v>11</v>
      </c>
      <c r="N14" s="27">
        <f t="shared" si="0"/>
        <v>785.5</v>
      </c>
      <c r="O14" s="5"/>
    </row>
    <row r="15" spans="1:15" ht="15.6" x14ac:dyDescent="0.3">
      <c r="A15" s="26" t="s">
        <v>13</v>
      </c>
      <c r="B15" s="27">
        <v>841</v>
      </c>
      <c r="C15" s="27">
        <v>1005</v>
      </c>
      <c r="D15" s="27">
        <v>1055</v>
      </c>
      <c r="E15" s="27">
        <v>749</v>
      </c>
      <c r="F15" s="27">
        <v>981</v>
      </c>
      <c r="G15" s="27">
        <v>82</v>
      </c>
      <c r="H15" s="27">
        <v>0</v>
      </c>
      <c r="I15" s="27">
        <v>0</v>
      </c>
      <c r="J15" s="27">
        <v>520</v>
      </c>
      <c r="K15" s="27">
        <v>830</v>
      </c>
      <c r="L15" s="27">
        <v>625</v>
      </c>
      <c r="M15" s="27">
        <v>558</v>
      </c>
      <c r="N15" s="27">
        <f t="shared" si="0"/>
        <v>7246</v>
      </c>
      <c r="O15" s="5"/>
    </row>
    <row r="16" spans="1:15" ht="15.6" x14ac:dyDescent="0.3">
      <c r="A16" s="26" t="s">
        <v>14</v>
      </c>
      <c r="B16" s="27">
        <v>0</v>
      </c>
      <c r="C16" s="27">
        <v>0</v>
      </c>
      <c r="D16" s="27">
        <v>0</v>
      </c>
      <c r="E16" s="27">
        <v>0</v>
      </c>
      <c r="F16" s="27">
        <v>1733</v>
      </c>
      <c r="G16" s="27">
        <v>1781</v>
      </c>
      <c r="H16" s="27">
        <v>2518</v>
      </c>
      <c r="I16" s="27">
        <v>2859</v>
      </c>
      <c r="J16" s="27">
        <v>1795</v>
      </c>
      <c r="K16" s="27">
        <v>0</v>
      </c>
      <c r="L16" s="27">
        <v>0</v>
      </c>
      <c r="M16" s="27">
        <v>0</v>
      </c>
      <c r="N16" s="27">
        <f t="shared" si="0"/>
        <v>10686</v>
      </c>
      <c r="O16" s="5"/>
    </row>
    <row r="17" spans="1:15" ht="15.6" x14ac:dyDescent="0.3">
      <c r="A17" s="26" t="s">
        <v>15</v>
      </c>
      <c r="B17" s="27">
        <v>425</v>
      </c>
      <c r="C17" s="27">
        <v>425</v>
      </c>
      <c r="D17" s="27">
        <v>350</v>
      </c>
      <c r="E17" s="27">
        <v>850</v>
      </c>
      <c r="F17" s="27">
        <v>525</v>
      </c>
      <c r="G17" s="27">
        <v>1300</v>
      </c>
      <c r="H17" s="27">
        <v>1225</v>
      </c>
      <c r="I17" s="27">
        <v>1025</v>
      </c>
      <c r="J17" s="27">
        <v>575</v>
      </c>
      <c r="K17" s="27">
        <v>450</v>
      </c>
      <c r="L17" s="27">
        <v>425</v>
      </c>
      <c r="M17" s="27">
        <v>500</v>
      </c>
      <c r="N17" s="27">
        <f t="shared" si="0"/>
        <v>8075</v>
      </c>
      <c r="O17" s="5"/>
    </row>
    <row r="18" spans="1:15" ht="15.6" x14ac:dyDescent="0.3">
      <c r="A18" s="26" t="s">
        <v>16</v>
      </c>
      <c r="B18" s="27">
        <v>8</v>
      </c>
      <c r="C18" s="27">
        <v>7</v>
      </c>
      <c r="D18" s="27">
        <v>9</v>
      </c>
      <c r="E18" s="27">
        <v>10</v>
      </c>
      <c r="F18" s="27">
        <v>16</v>
      </c>
      <c r="G18" s="27">
        <v>13</v>
      </c>
      <c r="H18" s="27">
        <v>17</v>
      </c>
      <c r="I18" s="27">
        <v>8</v>
      </c>
      <c r="J18" s="27">
        <v>8</v>
      </c>
      <c r="K18" s="27">
        <v>8</v>
      </c>
      <c r="L18" s="27">
        <v>10</v>
      </c>
      <c r="M18" s="27">
        <v>2</v>
      </c>
      <c r="N18" s="27">
        <f t="shared" si="0"/>
        <v>116</v>
      </c>
      <c r="O18" s="5"/>
    </row>
    <row r="19" spans="1:15" ht="15.6" x14ac:dyDescent="0.3">
      <c r="A19" s="26" t="s">
        <v>17</v>
      </c>
      <c r="B19" s="27">
        <v>14</v>
      </c>
      <c r="C19" s="27">
        <v>18</v>
      </c>
      <c r="D19" s="27">
        <v>23</v>
      </c>
      <c r="E19" s="27">
        <v>20</v>
      </c>
      <c r="F19" s="27">
        <v>21</v>
      </c>
      <c r="G19" s="27">
        <v>41</v>
      </c>
      <c r="H19" s="27">
        <v>55</v>
      </c>
      <c r="I19" s="27">
        <v>40</v>
      </c>
      <c r="J19" s="27">
        <v>40</v>
      </c>
      <c r="K19" s="27">
        <v>20</v>
      </c>
      <c r="L19" s="27">
        <v>14</v>
      </c>
      <c r="M19" s="27">
        <v>8</v>
      </c>
      <c r="N19" s="27">
        <f t="shared" si="0"/>
        <v>314</v>
      </c>
      <c r="O19" s="5"/>
    </row>
    <row r="20" spans="1:15" ht="15.6" x14ac:dyDescent="0.3">
      <c r="A20" s="26" t="s">
        <v>18</v>
      </c>
      <c r="B20" s="27">
        <v>54</v>
      </c>
      <c r="C20" s="27">
        <v>105</v>
      </c>
      <c r="D20" s="27">
        <v>92</v>
      </c>
      <c r="E20" s="27">
        <v>89</v>
      </c>
      <c r="F20" s="27">
        <v>97</v>
      </c>
      <c r="G20" s="27">
        <v>106</v>
      </c>
      <c r="H20" s="27">
        <v>123</v>
      </c>
      <c r="I20" s="27">
        <v>157</v>
      </c>
      <c r="J20" s="27">
        <v>202</v>
      </c>
      <c r="K20" s="27">
        <v>171</v>
      </c>
      <c r="L20" s="27">
        <v>176</v>
      </c>
      <c r="M20" s="27">
        <v>113</v>
      </c>
      <c r="N20" s="27">
        <f t="shared" si="0"/>
        <v>1485</v>
      </c>
      <c r="O20" s="5"/>
    </row>
    <row r="21" spans="1:15" ht="15.6" x14ac:dyDescent="0.3">
      <c r="A21" s="26" t="s">
        <v>19</v>
      </c>
      <c r="B21" s="27">
        <v>28</v>
      </c>
      <c r="C21" s="27">
        <v>36</v>
      </c>
      <c r="D21" s="27">
        <v>36</v>
      </c>
      <c r="E21" s="27">
        <v>43</v>
      </c>
      <c r="F21" s="27">
        <v>66</v>
      </c>
      <c r="G21" s="27">
        <v>63</v>
      </c>
      <c r="H21" s="27">
        <v>60</v>
      </c>
      <c r="I21" s="27">
        <v>63</v>
      </c>
      <c r="J21" s="27">
        <v>61</v>
      </c>
      <c r="K21" s="27">
        <v>41</v>
      </c>
      <c r="L21" s="27">
        <v>43</v>
      </c>
      <c r="M21" s="27">
        <v>52</v>
      </c>
      <c r="N21" s="27">
        <f t="shared" si="0"/>
        <v>592</v>
      </c>
      <c r="O21" s="5"/>
    </row>
    <row r="22" spans="1:15" ht="15.6" x14ac:dyDescent="0.3">
      <c r="A22" s="26" t="s">
        <v>20</v>
      </c>
      <c r="B22" s="27">
        <v>10</v>
      </c>
      <c r="C22" s="27">
        <v>8</v>
      </c>
      <c r="D22" s="27">
        <v>21</v>
      </c>
      <c r="E22" s="27">
        <v>26</v>
      </c>
      <c r="F22" s="27">
        <v>47</v>
      </c>
      <c r="G22" s="27">
        <v>37</v>
      </c>
      <c r="H22" s="27">
        <v>69</v>
      </c>
      <c r="I22" s="27">
        <v>66</v>
      </c>
      <c r="J22" s="27">
        <v>32</v>
      </c>
      <c r="K22" s="27">
        <v>33</v>
      </c>
      <c r="L22" s="27">
        <v>16</v>
      </c>
      <c r="M22" s="27">
        <v>22</v>
      </c>
      <c r="N22" s="27">
        <f t="shared" si="0"/>
        <v>387</v>
      </c>
      <c r="O22" s="5"/>
    </row>
    <row r="23" spans="1:15" ht="15.6" x14ac:dyDescent="0.3">
      <c r="A23" s="26" t="s">
        <v>21</v>
      </c>
      <c r="B23" s="27">
        <v>7</v>
      </c>
      <c r="C23" s="27">
        <v>15</v>
      </c>
      <c r="D23" s="27">
        <v>20</v>
      </c>
      <c r="E23" s="27">
        <v>30</v>
      </c>
      <c r="F23" s="27">
        <v>59</v>
      </c>
      <c r="G23" s="27">
        <v>30</v>
      </c>
      <c r="H23" s="27">
        <v>80</v>
      </c>
      <c r="I23" s="27">
        <v>64</v>
      </c>
      <c r="J23" s="27">
        <v>36</v>
      </c>
      <c r="K23" s="27">
        <v>23</v>
      </c>
      <c r="L23" s="27">
        <v>18</v>
      </c>
      <c r="M23" s="27">
        <v>21</v>
      </c>
      <c r="N23" s="27">
        <f t="shared" si="0"/>
        <v>403</v>
      </c>
      <c r="O23" s="5"/>
    </row>
    <row r="24" spans="1:15" ht="15.6" x14ac:dyDescent="0.3">
      <c r="A24" s="26" t="s">
        <v>22</v>
      </c>
      <c r="B24" s="27">
        <v>6</v>
      </c>
      <c r="C24" s="27">
        <v>8</v>
      </c>
      <c r="D24" s="27">
        <v>8</v>
      </c>
      <c r="E24" s="27">
        <v>15</v>
      </c>
      <c r="F24" s="27">
        <v>14</v>
      </c>
      <c r="G24" s="27">
        <v>13</v>
      </c>
      <c r="H24" s="27">
        <v>8</v>
      </c>
      <c r="I24" s="27">
        <v>6</v>
      </c>
      <c r="J24" s="27">
        <v>5</v>
      </c>
      <c r="K24" s="27">
        <v>2</v>
      </c>
      <c r="L24" s="27">
        <v>9</v>
      </c>
      <c r="M24" s="27">
        <v>4</v>
      </c>
      <c r="N24" s="27">
        <f t="shared" si="0"/>
        <v>98</v>
      </c>
      <c r="O24" s="5"/>
    </row>
    <row r="25" spans="1:15" ht="15.6" x14ac:dyDescent="0.3">
      <c r="A25" s="26" t="s">
        <v>23</v>
      </c>
      <c r="B25" s="27">
        <v>8</v>
      </c>
      <c r="C25" s="27">
        <v>2</v>
      </c>
      <c r="D25" s="27">
        <v>15</v>
      </c>
      <c r="E25" s="27">
        <v>12</v>
      </c>
      <c r="F25" s="27">
        <v>16</v>
      </c>
      <c r="G25" s="27">
        <v>10</v>
      </c>
      <c r="H25" s="27">
        <v>5</v>
      </c>
      <c r="I25" s="27">
        <v>9</v>
      </c>
      <c r="J25" s="27">
        <v>14</v>
      </c>
      <c r="K25" s="27">
        <v>18</v>
      </c>
      <c r="L25" s="27">
        <v>17</v>
      </c>
      <c r="M25" s="27">
        <v>4</v>
      </c>
      <c r="N25" s="27">
        <f t="shared" si="0"/>
        <v>130</v>
      </c>
      <c r="O25" s="5"/>
    </row>
    <row r="26" spans="1:15" ht="15.6" x14ac:dyDescent="0.3">
      <c r="A26" s="26" t="s">
        <v>24</v>
      </c>
      <c r="B26" s="27">
        <v>3</v>
      </c>
      <c r="C26" s="27">
        <v>4</v>
      </c>
      <c r="D26" s="27">
        <v>4</v>
      </c>
      <c r="E26" s="27">
        <v>12</v>
      </c>
      <c r="F26" s="27">
        <v>15</v>
      </c>
      <c r="G26" s="27">
        <v>12</v>
      </c>
      <c r="H26" s="27">
        <v>2</v>
      </c>
      <c r="I26" s="27">
        <v>13</v>
      </c>
      <c r="J26" s="27">
        <v>9</v>
      </c>
      <c r="K26" s="27">
        <v>18</v>
      </c>
      <c r="L26" s="27">
        <v>8</v>
      </c>
      <c r="M26" s="27">
        <v>5</v>
      </c>
      <c r="N26" s="27">
        <f t="shared" si="0"/>
        <v>105</v>
      </c>
      <c r="O26" s="5"/>
    </row>
    <row r="27" spans="1:15" ht="15.6" x14ac:dyDescent="0.3">
      <c r="A27" s="26" t="s">
        <v>25</v>
      </c>
      <c r="B27" s="27">
        <v>1</v>
      </c>
      <c r="C27" s="27">
        <v>3</v>
      </c>
      <c r="D27" s="27">
        <v>0</v>
      </c>
      <c r="E27" s="27">
        <v>1</v>
      </c>
      <c r="F27" s="27">
        <v>1</v>
      </c>
      <c r="G27" s="27">
        <v>1</v>
      </c>
      <c r="H27" s="27">
        <v>0</v>
      </c>
      <c r="I27" s="27">
        <v>1</v>
      </c>
      <c r="J27" s="27">
        <v>5</v>
      </c>
      <c r="K27" s="27">
        <v>2</v>
      </c>
      <c r="L27" s="27">
        <v>1</v>
      </c>
      <c r="M27" s="27">
        <v>0</v>
      </c>
      <c r="N27" s="27">
        <f t="shared" si="0"/>
        <v>16</v>
      </c>
      <c r="O27" s="5"/>
    </row>
    <row r="28" spans="1:15" ht="15.6" x14ac:dyDescent="0.3">
      <c r="A28" s="26" t="s">
        <v>26</v>
      </c>
      <c r="B28" s="27">
        <v>645</v>
      </c>
      <c r="C28" s="27">
        <v>610</v>
      </c>
      <c r="D28" s="27">
        <v>688</v>
      </c>
      <c r="E28" s="27">
        <v>665</v>
      </c>
      <c r="F28" s="27">
        <v>707</v>
      </c>
      <c r="G28" s="27">
        <v>698</v>
      </c>
      <c r="H28" s="27">
        <v>762</v>
      </c>
      <c r="I28" s="27">
        <v>772</v>
      </c>
      <c r="J28" s="27">
        <v>703</v>
      </c>
      <c r="K28" s="27">
        <v>672</v>
      </c>
      <c r="L28" s="28">
        <v>670</v>
      </c>
      <c r="M28" s="28">
        <v>620</v>
      </c>
      <c r="N28" s="27">
        <f t="shared" si="0"/>
        <v>8212</v>
      </c>
      <c r="O28" s="5"/>
    </row>
    <row r="29" spans="1:15" ht="15.6" x14ac:dyDescent="0.3">
      <c r="A29" s="26" t="s">
        <v>27</v>
      </c>
      <c r="B29" s="27">
        <v>281</v>
      </c>
      <c r="C29" s="27">
        <v>348</v>
      </c>
      <c r="D29" s="27">
        <v>378</v>
      </c>
      <c r="E29" s="27">
        <v>332</v>
      </c>
      <c r="F29" s="27">
        <v>431</v>
      </c>
      <c r="G29" s="27">
        <v>507</v>
      </c>
      <c r="H29" s="27">
        <v>560</v>
      </c>
      <c r="I29" s="27">
        <v>557</v>
      </c>
      <c r="J29" s="27">
        <v>304</v>
      </c>
      <c r="K29" s="27">
        <v>255</v>
      </c>
      <c r="L29" s="27">
        <v>314</v>
      </c>
      <c r="M29" s="27">
        <v>227</v>
      </c>
      <c r="N29" s="27">
        <f t="shared" si="0"/>
        <v>4494</v>
      </c>
      <c r="O29" s="5"/>
    </row>
    <row r="30" spans="1:15" ht="15.6" x14ac:dyDescent="0.3">
      <c r="A30" s="29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5"/>
    </row>
    <row r="31" spans="1:15" ht="16.2" x14ac:dyDescent="0.3">
      <c r="A31" s="12" t="s">
        <v>50</v>
      </c>
      <c r="B31" s="30">
        <f>B4+B5+B9+B10+B11+B20+B21+B22+B23+B24+B25+B27+B12</f>
        <v>6194</v>
      </c>
      <c r="C31" s="30">
        <f t="shared" ref="C31:M31" si="1">C4+C5+C9+C10+C11+C20+C21+C22+C23+C24+C25+C27+C12</f>
        <v>6999</v>
      </c>
      <c r="D31" s="30">
        <f t="shared" si="1"/>
        <v>8542</v>
      </c>
      <c r="E31" s="30">
        <f t="shared" si="1"/>
        <v>8554</v>
      </c>
      <c r="F31" s="30">
        <f t="shared" si="1"/>
        <v>9489</v>
      </c>
      <c r="G31" s="30">
        <f t="shared" si="1"/>
        <v>9354</v>
      </c>
      <c r="H31" s="30">
        <f t="shared" si="1"/>
        <v>9188</v>
      </c>
      <c r="I31" s="30">
        <f t="shared" si="1"/>
        <v>10375</v>
      </c>
      <c r="J31" s="30">
        <f t="shared" si="1"/>
        <v>8264</v>
      </c>
      <c r="K31" s="30">
        <f t="shared" si="1"/>
        <v>7878</v>
      </c>
      <c r="L31" s="30">
        <f t="shared" si="1"/>
        <v>7733</v>
      </c>
      <c r="M31" s="30">
        <f t="shared" si="1"/>
        <v>6905</v>
      </c>
      <c r="N31" s="9">
        <f>SUM(B31:M31)</f>
        <v>99475</v>
      </c>
      <c r="O31" s="5"/>
    </row>
    <row r="32" spans="1:15" ht="16.2" x14ac:dyDescent="0.3">
      <c r="A32" s="12" t="s">
        <v>28</v>
      </c>
      <c r="B32" s="30">
        <f>B4+B5+B6+B7+B8+B9+B10+B11+B12+B15+B17+B20+B21+B22+B23+B24+B25+B27+B29</f>
        <v>11930</v>
      </c>
      <c r="C32" s="30">
        <f t="shared" ref="C32:M32" si="2">C4+C5+C6+C7+C8+C9+C10+C11+C12+C15+C17+C20+C21+C22+C23+C24+C25+C27+C29</f>
        <v>12714</v>
      </c>
      <c r="D32" s="30">
        <f t="shared" si="2"/>
        <v>15108</v>
      </c>
      <c r="E32" s="30">
        <f t="shared" si="2"/>
        <v>15108</v>
      </c>
      <c r="F32" s="30">
        <f t="shared" si="2"/>
        <v>17489</v>
      </c>
      <c r="G32" s="30">
        <f t="shared" si="2"/>
        <v>17858</v>
      </c>
      <c r="H32" s="30">
        <f t="shared" si="2"/>
        <v>20673</v>
      </c>
      <c r="I32" s="30">
        <f t="shared" si="2"/>
        <v>21010</v>
      </c>
      <c r="J32" s="30">
        <f t="shared" si="2"/>
        <v>15256</v>
      </c>
      <c r="K32" s="30">
        <f t="shared" si="2"/>
        <v>13391</v>
      </c>
      <c r="L32" s="30">
        <f t="shared" si="2"/>
        <v>13865</v>
      </c>
      <c r="M32" s="30">
        <f t="shared" si="2"/>
        <v>11349</v>
      </c>
      <c r="N32" s="9">
        <f>SUM(B32:M32)</f>
        <v>185751</v>
      </c>
      <c r="O32" s="5"/>
    </row>
    <row r="33" spans="1:15" ht="16.2" x14ac:dyDescent="0.3">
      <c r="A33" s="12" t="s">
        <v>46</v>
      </c>
      <c r="B33" s="30">
        <f>SUM(B4:B29)-B14-B16-B28-B29-B15</f>
        <v>10853</v>
      </c>
      <c r="C33" s="30">
        <f t="shared" ref="C33:M33" si="3">SUM(C4:C29)-C14-C16-C28-C29-C15</f>
        <v>11410</v>
      </c>
      <c r="D33" s="30">
        <f t="shared" si="3"/>
        <v>13732</v>
      </c>
      <c r="E33" s="30">
        <f t="shared" si="3"/>
        <v>14086</v>
      </c>
      <c r="F33" s="30">
        <f t="shared" si="3"/>
        <v>16151</v>
      </c>
      <c r="G33" s="30">
        <f t="shared" si="3"/>
        <v>17335</v>
      </c>
      <c r="H33" s="30">
        <f t="shared" si="3"/>
        <v>20187</v>
      </c>
      <c r="I33" s="30">
        <f t="shared" si="3"/>
        <v>20514</v>
      </c>
      <c r="J33" s="30">
        <f t="shared" si="3"/>
        <v>14508</v>
      </c>
      <c r="K33" s="30">
        <f t="shared" si="3"/>
        <v>12374</v>
      </c>
      <c r="L33" s="30">
        <f t="shared" si="3"/>
        <v>12976</v>
      </c>
      <c r="M33" s="30">
        <f t="shared" si="3"/>
        <v>10594</v>
      </c>
      <c r="N33" s="9">
        <f>SUM(B33:M33)</f>
        <v>174720</v>
      </c>
      <c r="O33" s="2"/>
    </row>
    <row r="34" spans="1:15" ht="16.2" x14ac:dyDescent="0.25">
      <c r="A34" s="12" t="s">
        <v>51</v>
      </c>
      <c r="B34" s="30">
        <f>+B29+B15</f>
        <v>1122</v>
      </c>
      <c r="C34" s="30">
        <f t="shared" ref="C34:M34" si="4">+C29+C15</f>
        <v>1353</v>
      </c>
      <c r="D34" s="30">
        <f t="shared" si="4"/>
        <v>1433</v>
      </c>
      <c r="E34" s="30">
        <f t="shared" si="4"/>
        <v>1081</v>
      </c>
      <c r="F34" s="30">
        <f t="shared" si="4"/>
        <v>1412</v>
      </c>
      <c r="G34" s="30">
        <f t="shared" si="4"/>
        <v>589</v>
      </c>
      <c r="H34" s="30">
        <f t="shared" si="4"/>
        <v>560</v>
      </c>
      <c r="I34" s="30">
        <f t="shared" si="4"/>
        <v>557</v>
      </c>
      <c r="J34" s="30">
        <f t="shared" si="4"/>
        <v>824</v>
      </c>
      <c r="K34" s="30">
        <f t="shared" si="4"/>
        <v>1085</v>
      </c>
      <c r="L34" s="30">
        <f t="shared" si="4"/>
        <v>939</v>
      </c>
      <c r="M34" s="30">
        <f t="shared" si="4"/>
        <v>785</v>
      </c>
      <c r="N34" s="9">
        <f>SUM(B34:M34)</f>
        <v>11740</v>
      </c>
    </row>
    <row r="35" spans="1:15" ht="16.2" x14ac:dyDescent="0.25">
      <c r="A35" s="12" t="s">
        <v>52</v>
      </c>
      <c r="B35" s="30">
        <f>+B6+B7+B8+B17+B29+B15</f>
        <v>5736</v>
      </c>
      <c r="C35" s="30">
        <f t="shared" ref="C35:M35" si="5">+C6+C7+C8+C17+C29+C15</f>
        <v>5715</v>
      </c>
      <c r="D35" s="30">
        <f t="shared" si="5"/>
        <v>6566</v>
      </c>
      <c r="E35" s="30">
        <f t="shared" si="5"/>
        <v>6554</v>
      </c>
      <c r="F35" s="30">
        <f t="shared" si="5"/>
        <v>8000</v>
      </c>
      <c r="G35" s="30">
        <f t="shared" si="5"/>
        <v>8504</v>
      </c>
      <c r="H35" s="30">
        <f t="shared" si="5"/>
        <v>11485</v>
      </c>
      <c r="I35" s="30">
        <f t="shared" si="5"/>
        <v>10635</v>
      </c>
      <c r="J35" s="30">
        <f t="shared" si="5"/>
        <v>6992</v>
      </c>
      <c r="K35" s="30">
        <f t="shared" si="5"/>
        <v>5513</v>
      </c>
      <c r="L35" s="30">
        <f t="shared" si="5"/>
        <v>6132</v>
      </c>
      <c r="M35" s="30">
        <f t="shared" si="5"/>
        <v>4444</v>
      </c>
      <c r="N35" s="9">
        <f>SUM(B35:M35)</f>
        <v>86276</v>
      </c>
    </row>
    <row r="36" spans="1:15" ht="16.2" x14ac:dyDescent="0.25">
      <c r="A36" s="15"/>
      <c r="B36" s="18">
        <f t="shared" ref="B36:N36" si="6">SUM(B4:B29)</f>
        <v>12646</v>
      </c>
      <c r="C36" s="18">
        <f t="shared" si="6"/>
        <v>13434</v>
      </c>
      <c r="D36" s="18">
        <f t="shared" si="6"/>
        <v>15884</v>
      </c>
      <c r="E36" s="18">
        <f t="shared" si="6"/>
        <v>15901</v>
      </c>
      <c r="F36" s="18">
        <f t="shared" si="6"/>
        <v>20066</v>
      </c>
      <c r="G36" s="18">
        <f t="shared" si="6"/>
        <v>20484</v>
      </c>
      <c r="H36" s="18">
        <f t="shared" si="6"/>
        <v>24085.5</v>
      </c>
      <c r="I36" s="18">
        <f t="shared" si="6"/>
        <v>24834</v>
      </c>
      <c r="J36" s="18">
        <f t="shared" si="6"/>
        <v>17948</v>
      </c>
      <c r="K36" s="18">
        <f t="shared" si="6"/>
        <v>14218</v>
      </c>
      <c r="L36" s="18">
        <f t="shared" si="6"/>
        <v>14633</v>
      </c>
      <c r="M36" s="18">
        <f t="shared" si="6"/>
        <v>12010</v>
      </c>
      <c r="N36" s="18">
        <f t="shared" si="6"/>
        <v>206143.5</v>
      </c>
    </row>
    <row r="37" spans="1:15" ht="16.2" x14ac:dyDescent="0.25">
      <c r="A37" s="19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15" ht="16.2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5" ht="16.2" x14ac:dyDescent="0.25">
      <c r="A39" s="104" t="s">
        <v>47</v>
      </c>
      <c r="B39" s="104"/>
      <c r="C39" s="104"/>
      <c r="D39" s="104"/>
      <c r="E39" s="104"/>
      <c r="F39" s="104"/>
      <c r="G39" s="104"/>
      <c r="H39" s="104"/>
      <c r="I39" s="104"/>
      <c r="J39" s="11"/>
      <c r="K39" s="11"/>
      <c r="L39" s="11"/>
      <c r="M39" s="11"/>
      <c r="N39" s="11"/>
    </row>
    <row r="40" spans="1:15" ht="16.2" x14ac:dyDescent="0.25">
      <c r="A40" s="105" t="s">
        <v>48</v>
      </c>
      <c r="B40" s="105"/>
      <c r="C40" s="105"/>
      <c r="D40" s="105"/>
      <c r="E40" s="105"/>
      <c r="F40" s="105"/>
      <c r="G40" s="105"/>
      <c r="H40" s="105"/>
      <c r="I40" s="105"/>
      <c r="J40" s="11"/>
      <c r="K40" s="11"/>
      <c r="L40" s="11"/>
      <c r="M40" s="11"/>
      <c r="N40" s="11"/>
    </row>
    <row r="41" spans="1:15" ht="16.2" x14ac:dyDescent="0.25">
      <c r="A41" s="105" t="s">
        <v>53</v>
      </c>
      <c r="B41" s="105"/>
      <c r="C41" s="105"/>
      <c r="D41" s="105"/>
      <c r="E41" s="105"/>
      <c r="F41" s="105"/>
      <c r="G41" s="105"/>
      <c r="H41" s="105"/>
      <c r="I41" s="105"/>
      <c r="J41" s="11"/>
      <c r="K41" s="11"/>
      <c r="L41" s="11"/>
      <c r="M41" s="11"/>
      <c r="N41" s="11"/>
    </row>
    <row r="42" spans="1:15" ht="16.2" x14ac:dyDescent="0.25">
      <c r="A42" s="106" t="s">
        <v>49</v>
      </c>
      <c r="B42" s="106"/>
      <c r="C42" s="106"/>
      <c r="D42" s="106"/>
      <c r="E42" s="106"/>
      <c r="F42" s="106"/>
      <c r="G42" s="106"/>
      <c r="H42" s="106"/>
      <c r="I42" s="106"/>
      <c r="J42" s="11"/>
      <c r="K42" s="11"/>
      <c r="L42" s="11"/>
      <c r="M42" s="11"/>
      <c r="N42" s="11"/>
    </row>
  </sheetData>
  <mergeCells count="4">
    <mergeCell ref="A39:I39"/>
    <mergeCell ref="A40:I40"/>
    <mergeCell ref="A41:I41"/>
    <mergeCell ref="A42:I42"/>
  </mergeCells>
  <phoneticPr fontId="0" type="noConversion"/>
  <pageMargins left="0.5" right="0.5" top="0.5" bottom="0.5" header="0.5" footer="0.5"/>
  <pageSetup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1"/>
  <sheetViews>
    <sheetView workbookViewId="0">
      <pane xSplit="1" ySplit="3" topLeftCell="D7" activePane="bottomRight" state="frozen"/>
      <selection pane="topRight" activeCell="B1" sqref="B1"/>
      <selection pane="bottomLeft" activeCell="A4" sqref="A4"/>
      <selection pane="bottomRight" activeCell="M1" sqref="M1"/>
    </sheetView>
  </sheetViews>
  <sheetFormatPr defaultRowHeight="15" x14ac:dyDescent="0.25"/>
  <cols>
    <col min="1" max="1" width="27" customWidth="1"/>
    <col min="3" max="13" width="8.9140625" customWidth="1"/>
  </cols>
  <sheetData>
    <row r="1" spans="1:14" ht="18.600000000000001" x14ac:dyDescent="0.25">
      <c r="A1" s="48" t="s">
        <v>201</v>
      </c>
    </row>
    <row r="2" spans="1:14" x14ac:dyDescent="0.25">
      <c r="A2" s="49"/>
    </row>
    <row r="3" spans="1:14" ht="16.8" x14ac:dyDescent="0.25">
      <c r="A3" s="49"/>
      <c r="B3" s="47" t="s">
        <v>29</v>
      </c>
      <c r="C3" s="34" t="s">
        <v>30</v>
      </c>
      <c r="D3" s="34" t="s">
        <v>31</v>
      </c>
      <c r="E3" s="34" t="s">
        <v>32</v>
      </c>
      <c r="F3" s="34" t="s">
        <v>33</v>
      </c>
      <c r="G3" s="34" t="s">
        <v>34</v>
      </c>
      <c r="H3" s="34" t="s">
        <v>35</v>
      </c>
      <c r="I3" s="34" t="s">
        <v>36</v>
      </c>
      <c r="J3" s="34" t="s">
        <v>37</v>
      </c>
      <c r="K3" s="34" t="s">
        <v>38</v>
      </c>
      <c r="L3" s="34" t="s">
        <v>39</v>
      </c>
      <c r="M3" s="34" t="s">
        <v>40</v>
      </c>
      <c r="N3" s="35" t="s">
        <v>41</v>
      </c>
    </row>
    <row r="4" spans="1:14" ht="16.2" x14ac:dyDescent="0.25">
      <c r="A4" s="50" t="s">
        <v>190</v>
      </c>
      <c r="B4" s="52">
        <v>30</v>
      </c>
      <c r="C4" s="52">
        <v>0</v>
      </c>
      <c r="D4" s="52">
        <v>20</v>
      </c>
      <c r="E4" s="52">
        <v>50</v>
      </c>
      <c r="F4" s="52">
        <v>300</v>
      </c>
      <c r="G4" s="58">
        <v>90</v>
      </c>
      <c r="H4" s="52">
        <v>70</v>
      </c>
      <c r="I4" s="52">
        <v>110</v>
      </c>
      <c r="J4" s="52">
        <v>70</v>
      </c>
      <c r="K4" s="52">
        <v>120</v>
      </c>
      <c r="L4" s="52">
        <v>130</v>
      </c>
      <c r="M4" s="52">
        <v>150</v>
      </c>
      <c r="N4" s="52">
        <f>SUM(B4:M4)</f>
        <v>1140</v>
      </c>
    </row>
    <row r="5" spans="1:14" ht="16.2" x14ac:dyDescent="0.25">
      <c r="A5" s="50" t="s">
        <v>191</v>
      </c>
      <c r="B5" s="52">
        <v>0</v>
      </c>
      <c r="C5" s="52">
        <v>10</v>
      </c>
      <c r="D5" s="52">
        <v>0</v>
      </c>
      <c r="E5" s="52">
        <v>40</v>
      </c>
      <c r="F5" s="52">
        <v>350</v>
      </c>
      <c r="G5" s="58">
        <v>50</v>
      </c>
      <c r="H5" s="52">
        <v>20</v>
      </c>
      <c r="I5" s="52">
        <v>60</v>
      </c>
      <c r="J5" s="52">
        <v>40</v>
      </c>
      <c r="K5" s="52">
        <v>120</v>
      </c>
      <c r="L5" s="52">
        <v>20</v>
      </c>
      <c r="M5" s="52">
        <v>50</v>
      </c>
      <c r="N5" s="52">
        <f t="shared" ref="N5:N6" si="0">SUM(B5:M5)</f>
        <v>760</v>
      </c>
    </row>
    <row r="6" spans="1:14" ht="16.2" x14ac:dyDescent="0.25">
      <c r="A6" s="50" t="s">
        <v>186</v>
      </c>
      <c r="B6" s="52">
        <v>1440</v>
      </c>
      <c r="C6" s="52">
        <v>1380</v>
      </c>
      <c r="D6" s="52">
        <v>1000</v>
      </c>
      <c r="E6" s="52">
        <v>700</v>
      </c>
      <c r="F6" s="52">
        <v>7980</v>
      </c>
      <c r="G6" s="58">
        <v>1800</v>
      </c>
      <c r="H6" s="52">
        <v>1720</v>
      </c>
      <c r="I6" s="52">
        <v>1440</v>
      </c>
      <c r="J6" s="52">
        <v>1940</v>
      </c>
      <c r="K6" s="52">
        <v>1760</v>
      </c>
      <c r="L6" s="52">
        <v>1660</v>
      </c>
      <c r="M6" s="52">
        <v>1740</v>
      </c>
      <c r="N6" s="52">
        <f t="shared" si="0"/>
        <v>24560</v>
      </c>
    </row>
    <row r="7" spans="1:14" ht="16.2" x14ac:dyDescent="0.25">
      <c r="A7" s="50" t="s">
        <v>59</v>
      </c>
      <c r="B7" s="52">
        <v>0</v>
      </c>
      <c r="C7" s="52">
        <v>0</v>
      </c>
      <c r="D7" s="52">
        <v>0</v>
      </c>
      <c r="E7" s="52">
        <v>0</v>
      </c>
      <c r="F7" s="52">
        <v>40</v>
      </c>
      <c r="G7" s="58">
        <v>40</v>
      </c>
      <c r="H7" s="52">
        <v>80</v>
      </c>
      <c r="I7" s="52">
        <v>0</v>
      </c>
      <c r="J7" s="52">
        <v>20</v>
      </c>
      <c r="K7" s="52">
        <v>0</v>
      </c>
      <c r="L7" s="52">
        <v>0</v>
      </c>
      <c r="M7" s="52">
        <v>0</v>
      </c>
      <c r="N7" s="52">
        <f>SUM(B7:M7)</f>
        <v>180</v>
      </c>
    </row>
    <row r="8" spans="1:14" ht="16.2" x14ac:dyDescent="0.25">
      <c r="A8" s="50" t="s">
        <v>187</v>
      </c>
      <c r="B8" s="52">
        <v>2060</v>
      </c>
      <c r="C8" s="52">
        <v>2000</v>
      </c>
      <c r="D8" s="52">
        <v>1500</v>
      </c>
      <c r="E8" s="52">
        <v>1620</v>
      </c>
      <c r="F8" s="52">
        <v>8080</v>
      </c>
      <c r="G8" s="58">
        <v>1400</v>
      </c>
      <c r="H8" s="52">
        <v>1640</v>
      </c>
      <c r="I8" s="52">
        <v>1800</v>
      </c>
      <c r="J8" s="52">
        <v>2040</v>
      </c>
      <c r="K8" s="52">
        <v>1860</v>
      </c>
      <c r="L8" s="52">
        <v>2060</v>
      </c>
      <c r="M8" s="52">
        <v>2040</v>
      </c>
      <c r="N8" s="52">
        <f>SUM(B8:M8)</f>
        <v>28100</v>
      </c>
    </row>
    <row r="9" spans="1:14" ht="16.2" x14ac:dyDescent="0.25">
      <c r="A9" s="50" t="s">
        <v>188</v>
      </c>
      <c r="B9" s="52">
        <v>0</v>
      </c>
      <c r="C9" s="52">
        <v>0</v>
      </c>
      <c r="D9" s="52">
        <v>0</v>
      </c>
      <c r="E9" s="52">
        <v>0</v>
      </c>
      <c r="F9" s="52">
        <v>40</v>
      </c>
      <c r="G9" s="58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f>SUM(B9:M9)</f>
        <v>40</v>
      </c>
    </row>
    <row r="10" spans="1:14" ht="16.2" x14ac:dyDescent="0.25">
      <c r="A10" s="50" t="s">
        <v>134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  <c r="G10" s="58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f>SUM(B10:M10)</f>
        <v>0</v>
      </c>
    </row>
    <row r="11" spans="1:14" ht="16.2" x14ac:dyDescent="0.25">
      <c r="A11" s="50" t="s">
        <v>135</v>
      </c>
      <c r="B11" s="52">
        <v>0</v>
      </c>
      <c r="C11" s="52">
        <v>0</v>
      </c>
      <c r="D11" s="52">
        <v>0</v>
      </c>
      <c r="E11" s="52">
        <v>0</v>
      </c>
      <c r="F11" s="52">
        <v>0</v>
      </c>
      <c r="G11" s="58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f t="shared" ref="N11:N52" si="1">SUM(B11:M11)</f>
        <v>0</v>
      </c>
    </row>
    <row r="12" spans="1:14" ht="16.2" x14ac:dyDescent="0.25">
      <c r="A12" s="50" t="s">
        <v>199</v>
      </c>
      <c r="B12" s="52">
        <v>1975</v>
      </c>
      <c r="C12" s="52">
        <v>2125</v>
      </c>
      <c r="D12" s="52">
        <v>1375</v>
      </c>
      <c r="E12" s="52">
        <v>700</v>
      </c>
      <c r="F12" s="52">
        <v>7550</v>
      </c>
      <c r="G12" s="58">
        <v>1825</v>
      </c>
      <c r="H12" s="52">
        <v>2025</v>
      </c>
      <c r="I12" s="52">
        <v>2200</v>
      </c>
      <c r="J12" s="52">
        <v>2100</v>
      </c>
      <c r="K12" s="52">
        <v>2125</v>
      </c>
      <c r="L12" s="52">
        <v>1375</v>
      </c>
      <c r="M12" s="52">
        <v>1750</v>
      </c>
      <c r="N12" s="52">
        <f t="shared" si="1"/>
        <v>27125</v>
      </c>
    </row>
    <row r="13" spans="1:14" ht="16.2" x14ac:dyDescent="0.25">
      <c r="A13" s="50" t="s">
        <v>111</v>
      </c>
      <c r="B13" s="52">
        <v>0</v>
      </c>
      <c r="C13" s="52">
        <v>0</v>
      </c>
      <c r="D13" s="52">
        <v>0</v>
      </c>
      <c r="E13" s="52">
        <v>0</v>
      </c>
      <c r="F13" s="52">
        <v>714</v>
      </c>
      <c r="G13" s="58">
        <v>1904</v>
      </c>
      <c r="H13" s="52">
        <v>3077</v>
      </c>
      <c r="I13" s="52">
        <v>3357</v>
      </c>
      <c r="J13" s="52">
        <v>2391</v>
      </c>
      <c r="K13" s="52">
        <v>0</v>
      </c>
      <c r="L13" s="52">
        <v>0</v>
      </c>
      <c r="M13" s="52">
        <v>0</v>
      </c>
      <c r="N13" s="52">
        <f t="shared" si="1"/>
        <v>11443</v>
      </c>
    </row>
    <row r="14" spans="1:14" ht="16.2" x14ac:dyDescent="0.25">
      <c r="A14" s="50" t="s">
        <v>136</v>
      </c>
      <c r="B14" s="52">
        <v>1535</v>
      </c>
      <c r="C14" s="52">
        <v>2169</v>
      </c>
      <c r="D14" s="52">
        <v>1194</v>
      </c>
      <c r="E14" s="52">
        <v>0</v>
      </c>
      <c r="F14" s="52">
        <v>682</v>
      </c>
      <c r="G14" s="58">
        <v>0</v>
      </c>
      <c r="H14" s="52">
        <v>0</v>
      </c>
      <c r="I14" s="52">
        <v>0</v>
      </c>
      <c r="J14" s="52">
        <v>0</v>
      </c>
      <c r="K14" s="52">
        <v>1748</v>
      </c>
      <c r="L14" s="52">
        <v>1421</v>
      </c>
      <c r="M14" s="52">
        <v>1577</v>
      </c>
      <c r="N14" s="52">
        <f t="shared" si="1"/>
        <v>10326</v>
      </c>
    </row>
    <row r="15" spans="1:14" ht="16.2" x14ac:dyDescent="0.25">
      <c r="A15" s="50" t="s">
        <v>127</v>
      </c>
      <c r="B15" s="52">
        <v>0</v>
      </c>
      <c r="C15" s="52">
        <v>0</v>
      </c>
      <c r="D15" s="52">
        <v>0</v>
      </c>
      <c r="E15" s="52">
        <v>0</v>
      </c>
      <c r="F15" s="52">
        <v>951</v>
      </c>
      <c r="G15" s="58">
        <v>2308</v>
      </c>
      <c r="H15" s="52">
        <v>3124</v>
      </c>
      <c r="I15" s="52">
        <v>3176</v>
      </c>
      <c r="J15" s="52">
        <v>2399</v>
      </c>
      <c r="K15" s="52">
        <v>0</v>
      </c>
      <c r="L15" s="52">
        <v>0</v>
      </c>
      <c r="M15" s="52">
        <v>0</v>
      </c>
      <c r="N15" s="52">
        <f t="shared" si="1"/>
        <v>11958</v>
      </c>
    </row>
    <row r="16" spans="1:14" ht="16.2" x14ac:dyDescent="0.25">
      <c r="A16" s="50" t="s">
        <v>137</v>
      </c>
      <c r="B16" s="52">
        <v>1802</v>
      </c>
      <c r="C16" s="52">
        <v>2268</v>
      </c>
      <c r="D16" s="52">
        <v>1491</v>
      </c>
      <c r="E16" s="52">
        <v>0</v>
      </c>
      <c r="F16" s="52">
        <v>1024</v>
      </c>
      <c r="G16" s="58">
        <v>0</v>
      </c>
      <c r="H16" s="52">
        <v>0</v>
      </c>
      <c r="I16" s="52">
        <v>0</v>
      </c>
      <c r="J16" s="52">
        <v>0</v>
      </c>
      <c r="K16" s="52">
        <v>2286</v>
      </c>
      <c r="L16" s="52">
        <v>1803</v>
      </c>
      <c r="M16" s="52">
        <v>2097</v>
      </c>
      <c r="N16" s="52">
        <f t="shared" si="1"/>
        <v>12771</v>
      </c>
    </row>
    <row r="17" spans="1:14" ht="16.2" x14ac:dyDescent="0.25">
      <c r="A17" s="50" t="s">
        <v>8</v>
      </c>
      <c r="B17" s="52">
        <v>0</v>
      </c>
      <c r="C17" s="52">
        <v>0</v>
      </c>
      <c r="D17" s="52">
        <v>0</v>
      </c>
      <c r="E17" s="52">
        <v>0</v>
      </c>
      <c r="F17" s="52">
        <v>0</v>
      </c>
      <c r="G17" s="58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f t="shared" si="1"/>
        <v>0</v>
      </c>
    </row>
    <row r="18" spans="1:14" ht="16.2" x14ac:dyDescent="0.25">
      <c r="A18" s="50" t="s">
        <v>62</v>
      </c>
      <c r="B18" s="52">
        <v>1</v>
      </c>
      <c r="C18" s="52">
        <v>2</v>
      </c>
      <c r="D18" s="52">
        <v>1</v>
      </c>
      <c r="E18" s="52">
        <v>0</v>
      </c>
      <c r="F18" s="52">
        <v>1</v>
      </c>
      <c r="G18" s="58">
        <v>2</v>
      </c>
      <c r="H18" s="52">
        <v>5</v>
      </c>
      <c r="I18" s="52">
        <v>3</v>
      </c>
      <c r="J18" s="52">
        <v>3</v>
      </c>
      <c r="K18" s="52">
        <v>1</v>
      </c>
      <c r="L18" s="52">
        <v>2</v>
      </c>
      <c r="M18" s="52">
        <v>0</v>
      </c>
      <c r="N18" s="52">
        <f t="shared" si="1"/>
        <v>21</v>
      </c>
    </row>
    <row r="19" spans="1:14" ht="16.2" x14ac:dyDescent="0.25">
      <c r="A19" s="50" t="s">
        <v>138</v>
      </c>
      <c r="B19" s="52">
        <v>0</v>
      </c>
      <c r="C19" s="52">
        <v>0</v>
      </c>
      <c r="D19" s="52">
        <v>0</v>
      </c>
      <c r="E19" s="52">
        <v>0</v>
      </c>
      <c r="F19" s="52">
        <v>8</v>
      </c>
      <c r="G19" s="58">
        <v>21</v>
      </c>
      <c r="H19" s="52">
        <v>24</v>
      </c>
      <c r="I19" s="52">
        <v>40</v>
      </c>
      <c r="J19" s="52">
        <v>32</v>
      </c>
      <c r="K19" s="52">
        <v>0</v>
      </c>
      <c r="L19" s="52">
        <v>0</v>
      </c>
      <c r="M19" s="52">
        <v>0</v>
      </c>
      <c r="N19" s="52">
        <f t="shared" si="1"/>
        <v>125</v>
      </c>
    </row>
    <row r="20" spans="1:14" ht="16.2" x14ac:dyDescent="0.25">
      <c r="A20" s="50" t="s">
        <v>139</v>
      </c>
      <c r="B20" s="52">
        <v>1</v>
      </c>
      <c r="C20" s="52">
        <v>0</v>
      </c>
      <c r="D20" s="52">
        <v>1</v>
      </c>
      <c r="E20" s="52">
        <v>0</v>
      </c>
      <c r="F20" s="52">
        <v>7</v>
      </c>
      <c r="G20" s="58">
        <v>0</v>
      </c>
      <c r="H20" s="52">
        <v>0</v>
      </c>
      <c r="I20" s="52">
        <v>0</v>
      </c>
      <c r="J20" s="52">
        <v>0</v>
      </c>
      <c r="K20" s="52">
        <v>13</v>
      </c>
      <c r="L20" s="52">
        <v>5</v>
      </c>
      <c r="M20" s="52">
        <v>0</v>
      </c>
      <c r="N20" s="52">
        <f t="shared" si="1"/>
        <v>27</v>
      </c>
    </row>
    <row r="21" spans="1:14" ht="16.2" x14ac:dyDescent="0.25">
      <c r="A21" s="50" t="s">
        <v>11</v>
      </c>
      <c r="B21" s="52">
        <v>18</v>
      </c>
      <c r="C21" s="52">
        <v>17</v>
      </c>
      <c r="D21" s="52">
        <v>10</v>
      </c>
      <c r="E21" s="52">
        <v>0</v>
      </c>
      <c r="F21" s="52">
        <v>0</v>
      </c>
      <c r="G21" s="58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f>SUM(B21:M21)</f>
        <v>45</v>
      </c>
    </row>
    <row r="22" spans="1:14" ht="16.2" x14ac:dyDescent="0.25">
      <c r="A22" s="50" t="s">
        <v>12</v>
      </c>
      <c r="B22" s="52">
        <v>2</v>
      </c>
      <c r="C22" s="52">
        <v>1</v>
      </c>
      <c r="D22" s="52">
        <v>0</v>
      </c>
      <c r="E22" s="52">
        <v>0</v>
      </c>
      <c r="F22" s="52">
        <v>1</v>
      </c>
      <c r="G22" s="58">
        <v>3</v>
      </c>
      <c r="H22" s="65">
        <v>8</v>
      </c>
      <c r="I22" s="52">
        <v>0</v>
      </c>
      <c r="J22" s="52">
        <v>22</v>
      </c>
      <c r="K22" s="52">
        <v>3</v>
      </c>
      <c r="L22" s="52">
        <v>0</v>
      </c>
      <c r="M22" s="52">
        <v>15</v>
      </c>
      <c r="N22" s="52">
        <f t="shared" si="1"/>
        <v>55</v>
      </c>
    </row>
    <row r="23" spans="1:14" ht="16.2" x14ac:dyDescent="0.25">
      <c r="A23" s="50" t="s">
        <v>145</v>
      </c>
      <c r="B23" s="52">
        <v>0</v>
      </c>
      <c r="C23" s="52">
        <v>0</v>
      </c>
      <c r="D23" s="52">
        <v>0</v>
      </c>
      <c r="E23" s="52">
        <v>0</v>
      </c>
      <c r="F23" s="52">
        <v>181</v>
      </c>
      <c r="G23" s="58">
        <v>539</v>
      </c>
      <c r="H23" s="52">
        <v>589</v>
      </c>
      <c r="I23" s="52">
        <v>697</v>
      </c>
      <c r="J23" s="52">
        <v>624</v>
      </c>
      <c r="K23" s="52">
        <v>0</v>
      </c>
      <c r="L23" s="52">
        <v>0</v>
      </c>
      <c r="M23" s="52">
        <v>0</v>
      </c>
      <c r="N23" s="52">
        <f>SUM(B23:M23)</f>
        <v>2630</v>
      </c>
    </row>
    <row r="24" spans="1:14" ht="16.2" x14ac:dyDescent="0.25">
      <c r="A24" s="50" t="s">
        <v>146</v>
      </c>
      <c r="B24" s="52">
        <v>555</v>
      </c>
      <c r="C24" s="52">
        <v>738</v>
      </c>
      <c r="D24" s="52">
        <v>511</v>
      </c>
      <c r="E24" s="52">
        <v>0</v>
      </c>
      <c r="F24" s="52">
        <v>287</v>
      </c>
      <c r="G24" s="58">
        <v>0</v>
      </c>
      <c r="H24" s="52">
        <v>0</v>
      </c>
      <c r="I24" s="52">
        <v>0</v>
      </c>
      <c r="J24" s="52">
        <v>0</v>
      </c>
      <c r="K24" s="52">
        <v>570</v>
      </c>
      <c r="L24" s="52">
        <v>431</v>
      </c>
      <c r="M24" s="52">
        <v>432</v>
      </c>
      <c r="N24" s="52">
        <f>SUM(B24:M24)</f>
        <v>3524</v>
      </c>
    </row>
    <row r="25" spans="1:14" ht="16.2" x14ac:dyDescent="0.25">
      <c r="A25" s="50" t="s">
        <v>184</v>
      </c>
      <c r="B25" s="52">
        <v>0</v>
      </c>
      <c r="C25" s="52">
        <v>0</v>
      </c>
      <c r="D25" s="52">
        <v>0</v>
      </c>
      <c r="E25" s="52">
        <v>0</v>
      </c>
      <c r="F25" s="52">
        <v>367</v>
      </c>
      <c r="G25" s="58">
        <v>943</v>
      </c>
      <c r="H25" s="52">
        <v>1616</v>
      </c>
      <c r="I25" s="52">
        <v>1747</v>
      </c>
      <c r="J25" s="52">
        <v>1049</v>
      </c>
      <c r="K25" s="52">
        <v>0</v>
      </c>
      <c r="L25" s="52">
        <v>0</v>
      </c>
      <c r="M25" s="52">
        <v>0</v>
      </c>
      <c r="N25" s="52">
        <f>SUM(B25:M25)</f>
        <v>5722</v>
      </c>
    </row>
    <row r="26" spans="1:14" ht="16.2" x14ac:dyDescent="0.25">
      <c r="A26" s="50" t="s">
        <v>183</v>
      </c>
      <c r="B26" s="52">
        <v>592</v>
      </c>
      <c r="C26" s="52">
        <v>1021</v>
      </c>
      <c r="D26" s="52">
        <v>622</v>
      </c>
      <c r="E26" s="52">
        <v>0</v>
      </c>
      <c r="F26" s="52">
        <v>346</v>
      </c>
      <c r="G26" s="58">
        <v>0</v>
      </c>
      <c r="H26" s="52">
        <v>0</v>
      </c>
      <c r="I26" s="52">
        <v>0</v>
      </c>
      <c r="J26" s="52">
        <v>0</v>
      </c>
      <c r="K26" s="52">
        <v>850</v>
      </c>
      <c r="L26" s="52">
        <v>584</v>
      </c>
      <c r="M26" s="52">
        <v>634</v>
      </c>
      <c r="N26" s="52">
        <f>SUM(B26:M26)</f>
        <v>4649</v>
      </c>
    </row>
    <row r="27" spans="1:14" ht="16.2" x14ac:dyDescent="0.25">
      <c r="A27" s="50" t="s">
        <v>140</v>
      </c>
      <c r="B27" s="52">
        <v>0</v>
      </c>
      <c r="C27" s="52">
        <v>0</v>
      </c>
      <c r="D27" s="52">
        <v>0</v>
      </c>
      <c r="E27" s="52">
        <v>0</v>
      </c>
      <c r="F27" s="52">
        <v>1</v>
      </c>
      <c r="G27" s="58">
        <v>1</v>
      </c>
      <c r="H27" s="52">
        <v>2</v>
      </c>
      <c r="I27" s="52">
        <v>3</v>
      </c>
      <c r="J27" s="52">
        <v>7</v>
      </c>
      <c r="K27" s="52">
        <v>0</v>
      </c>
      <c r="L27" s="52">
        <v>0</v>
      </c>
      <c r="M27" s="52">
        <v>0</v>
      </c>
      <c r="N27" s="52">
        <f t="shared" si="1"/>
        <v>14</v>
      </c>
    </row>
    <row r="28" spans="1:14" ht="16.2" x14ac:dyDescent="0.25">
      <c r="A28" s="50" t="s">
        <v>141</v>
      </c>
      <c r="B28" s="52">
        <v>0</v>
      </c>
      <c r="C28" s="52">
        <v>0</v>
      </c>
      <c r="D28" s="52">
        <v>0</v>
      </c>
      <c r="E28" s="52">
        <v>0</v>
      </c>
      <c r="F28" s="52">
        <v>1</v>
      </c>
      <c r="G28" s="58">
        <v>0</v>
      </c>
      <c r="H28" s="52">
        <v>0</v>
      </c>
      <c r="I28" s="52">
        <v>0</v>
      </c>
      <c r="J28" s="52">
        <v>0</v>
      </c>
      <c r="K28" s="52">
        <v>4</v>
      </c>
      <c r="L28" s="52">
        <v>3</v>
      </c>
      <c r="M28" s="52">
        <v>0</v>
      </c>
      <c r="N28" s="52">
        <f t="shared" si="1"/>
        <v>8</v>
      </c>
    </row>
    <row r="29" spans="1:14" ht="16.2" x14ac:dyDescent="0.25">
      <c r="A29" s="50" t="s">
        <v>91</v>
      </c>
      <c r="B29" s="52">
        <v>0</v>
      </c>
      <c r="C29" s="52">
        <v>0</v>
      </c>
      <c r="D29" s="52">
        <v>0</v>
      </c>
      <c r="E29" s="52">
        <v>0</v>
      </c>
      <c r="F29" s="52">
        <v>0</v>
      </c>
      <c r="G29" s="58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f>SUM(B29:M29)</f>
        <v>0</v>
      </c>
    </row>
    <row r="30" spans="1:14" ht="16.2" x14ac:dyDescent="0.25">
      <c r="A30" s="50" t="s">
        <v>202</v>
      </c>
      <c r="B30" s="52">
        <v>1525</v>
      </c>
      <c r="C30" s="52">
        <v>1625</v>
      </c>
      <c r="D30" s="52">
        <v>1150</v>
      </c>
      <c r="E30" s="52">
        <v>1250</v>
      </c>
      <c r="F30" s="52">
        <v>7425</v>
      </c>
      <c r="G30" s="58">
        <v>1575</v>
      </c>
      <c r="H30" s="52">
        <v>2025</v>
      </c>
      <c r="I30" s="52">
        <v>1775</v>
      </c>
      <c r="J30" s="52">
        <v>1950</v>
      </c>
      <c r="K30" s="52">
        <v>1600</v>
      </c>
      <c r="L30" s="52">
        <v>1475</v>
      </c>
      <c r="M30" s="52">
        <v>1175</v>
      </c>
      <c r="N30" s="52">
        <f>SUM(B30:M30)</f>
        <v>24550</v>
      </c>
    </row>
    <row r="31" spans="1:14" ht="16.2" x14ac:dyDescent="0.25">
      <c r="A31" s="50" t="s">
        <v>116</v>
      </c>
      <c r="B31" s="52">
        <v>0</v>
      </c>
      <c r="C31" s="52">
        <v>0</v>
      </c>
      <c r="D31" s="52">
        <v>0</v>
      </c>
      <c r="E31" s="52">
        <v>0</v>
      </c>
      <c r="F31" s="52">
        <v>0</v>
      </c>
      <c r="G31" s="58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f>SUM(B31:M31)</f>
        <v>0</v>
      </c>
    </row>
    <row r="32" spans="1:14" ht="16.2" x14ac:dyDescent="0.25">
      <c r="A32" s="50" t="s">
        <v>142</v>
      </c>
      <c r="B32" s="52">
        <v>0</v>
      </c>
      <c r="C32" s="52">
        <v>0</v>
      </c>
      <c r="D32" s="52">
        <v>0</v>
      </c>
      <c r="E32" s="52">
        <v>0</v>
      </c>
      <c r="F32" s="52">
        <v>0</v>
      </c>
      <c r="G32" s="58">
        <v>0</v>
      </c>
      <c r="H32" s="52">
        <v>0</v>
      </c>
      <c r="I32" s="52">
        <v>0</v>
      </c>
      <c r="J32" s="52">
        <v>0</v>
      </c>
      <c r="K32" s="52">
        <v>0</v>
      </c>
      <c r="L32" s="52">
        <v>0</v>
      </c>
      <c r="M32" s="52">
        <v>0</v>
      </c>
      <c r="N32" s="52">
        <f>SUM(B32:M32)</f>
        <v>0</v>
      </c>
    </row>
    <row r="33" spans="1:14" ht="16.2" x14ac:dyDescent="0.25">
      <c r="A33" s="50" t="s">
        <v>118</v>
      </c>
      <c r="B33" s="52">
        <v>0</v>
      </c>
      <c r="C33" s="52">
        <v>0</v>
      </c>
      <c r="D33" s="52">
        <v>0</v>
      </c>
      <c r="E33" s="52">
        <v>0</v>
      </c>
      <c r="F33" s="52">
        <v>75</v>
      </c>
      <c r="G33" s="58">
        <v>297</v>
      </c>
      <c r="H33" s="52">
        <v>270</v>
      </c>
      <c r="I33" s="52">
        <v>284</v>
      </c>
      <c r="J33" s="52">
        <v>254</v>
      </c>
      <c r="K33" s="52">
        <v>0</v>
      </c>
      <c r="L33" s="52">
        <v>0</v>
      </c>
      <c r="M33" s="52">
        <v>0</v>
      </c>
      <c r="N33" s="52">
        <f t="shared" si="1"/>
        <v>1180</v>
      </c>
    </row>
    <row r="34" spans="1:14" ht="16.2" x14ac:dyDescent="0.25">
      <c r="A34" s="50" t="s">
        <v>147</v>
      </c>
      <c r="B34" s="52">
        <v>221</v>
      </c>
      <c r="C34" s="52">
        <v>277</v>
      </c>
      <c r="D34" s="52">
        <v>120</v>
      </c>
      <c r="E34" s="52">
        <v>0</v>
      </c>
      <c r="F34" s="52">
        <v>138</v>
      </c>
      <c r="G34" s="58">
        <v>0</v>
      </c>
      <c r="H34" s="52">
        <v>0</v>
      </c>
      <c r="I34" s="52">
        <v>0</v>
      </c>
      <c r="J34" s="52">
        <v>0</v>
      </c>
      <c r="K34" s="52">
        <v>276</v>
      </c>
      <c r="L34" s="52">
        <v>226</v>
      </c>
      <c r="M34" s="52">
        <v>245</v>
      </c>
      <c r="N34" s="52">
        <f t="shared" si="1"/>
        <v>1503</v>
      </c>
    </row>
    <row r="35" spans="1:14" ht="16.2" x14ac:dyDescent="0.25">
      <c r="A35" s="50" t="s">
        <v>119</v>
      </c>
      <c r="B35" s="52">
        <v>0</v>
      </c>
      <c r="C35" s="52">
        <v>0</v>
      </c>
      <c r="D35" s="52">
        <v>0</v>
      </c>
      <c r="E35" s="52">
        <v>0</v>
      </c>
      <c r="F35" s="52">
        <v>26</v>
      </c>
      <c r="G35" s="58">
        <v>92</v>
      </c>
      <c r="H35" s="52">
        <v>76</v>
      </c>
      <c r="I35" s="52">
        <v>73</v>
      </c>
      <c r="J35" s="52">
        <v>72</v>
      </c>
      <c r="K35" s="52">
        <v>0</v>
      </c>
      <c r="L35" s="52">
        <v>0</v>
      </c>
      <c r="M35" s="52">
        <v>0</v>
      </c>
      <c r="N35" s="52">
        <f t="shared" si="1"/>
        <v>339</v>
      </c>
    </row>
    <row r="36" spans="1:14" ht="16.2" x14ac:dyDescent="0.25">
      <c r="A36" s="50" t="s">
        <v>148</v>
      </c>
      <c r="B36" s="52">
        <v>47</v>
      </c>
      <c r="C36" s="52">
        <v>74</v>
      </c>
      <c r="D36" s="52">
        <v>41</v>
      </c>
      <c r="E36" s="52">
        <v>0</v>
      </c>
      <c r="F36" s="52">
        <v>49</v>
      </c>
      <c r="G36" s="58">
        <v>0</v>
      </c>
      <c r="H36" s="52">
        <v>0</v>
      </c>
      <c r="I36" s="52">
        <v>0</v>
      </c>
      <c r="J36" s="52">
        <v>0</v>
      </c>
      <c r="K36" s="52">
        <v>78</v>
      </c>
      <c r="L36" s="52">
        <v>86</v>
      </c>
      <c r="M36" s="52">
        <v>42</v>
      </c>
      <c r="N36" s="52">
        <f t="shared" si="1"/>
        <v>417</v>
      </c>
    </row>
    <row r="37" spans="1:14" ht="16.2" x14ac:dyDescent="0.25">
      <c r="A37" s="50" t="s">
        <v>120</v>
      </c>
      <c r="B37" s="52">
        <v>0</v>
      </c>
      <c r="C37" s="52">
        <v>0</v>
      </c>
      <c r="D37" s="52">
        <v>0</v>
      </c>
      <c r="E37" s="52">
        <v>0</v>
      </c>
      <c r="F37" s="52">
        <v>29</v>
      </c>
      <c r="G37" s="58">
        <v>89</v>
      </c>
      <c r="H37" s="52">
        <v>115</v>
      </c>
      <c r="I37" s="52">
        <v>96</v>
      </c>
      <c r="J37" s="52">
        <v>96</v>
      </c>
      <c r="K37" s="52">
        <v>0</v>
      </c>
      <c r="L37" s="52">
        <v>0</v>
      </c>
      <c r="M37" s="52">
        <v>0</v>
      </c>
      <c r="N37" s="52">
        <f t="shared" si="1"/>
        <v>425</v>
      </c>
    </row>
    <row r="38" spans="1:14" ht="16.2" x14ac:dyDescent="0.25">
      <c r="A38" s="50" t="s">
        <v>149</v>
      </c>
      <c r="B38" s="52">
        <v>48</v>
      </c>
      <c r="C38" s="52">
        <v>59</v>
      </c>
      <c r="D38" s="52">
        <v>34</v>
      </c>
      <c r="E38" s="52">
        <v>0</v>
      </c>
      <c r="F38" s="52">
        <v>47</v>
      </c>
      <c r="G38" s="58">
        <v>0</v>
      </c>
      <c r="H38" s="52">
        <v>0</v>
      </c>
      <c r="I38" s="52">
        <v>0</v>
      </c>
      <c r="J38" s="52">
        <v>0</v>
      </c>
      <c r="K38" s="52">
        <v>72</v>
      </c>
      <c r="L38" s="52">
        <v>55</v>
      </c>
      <c r="M38" s="52">
        <v>54</v>
      </c>
      <c r="N38" s="52">
        <f t="shared" si="1"/>
        <v>369</v>
      </c>
    </row>
    <row r="39" spans="1:14" ht="16.2" x14ac:dyDescent="0.25">
      <c r="A39" s="50" t="s">
        <v>121</v>
      </c>
      <c r="B39" s="52">
        <v>0</v>
      </c>
      <c r="C39" s="52">
        <v>0</v>
      </c>
      <c r="D39" s="52">
        <v>0</v>
      </c>
      <c r="E39" s="52">
        <v>0</v>
      </c>
      <c r="F39" s="52">
        <v>15</v>
      </c>
      <c r="G39" s="58">
        <v>81</v>
      </c>
      <c r="H39" s="52">
        <v>95</v>
      </c>
      <c r="I39" s="52">
        <v>93</v>
      </c>
      <c r="J39" s="52">
        <v>73</v>
      </c>
      <c r="K39" s="52">
        <v>0</v>
      </c>
      <c r="L39" s="52">
        <v>0</v>
      </c>
      <c r="M39" s="52">
        <v>0</v>
      </c>
      <c r="N39" s="52">
        <f t="shared" si="1"/>
        <v>357</v>
      </c>
    </row>
    <row r="40" spans="1:14" ht="16.2" x14ac:dyDescent="0.25">
      <c r="A40" s="50" t="s">
        <v>150</v>
      </c>
      <c r="B40" s="52">
        <v>38</v>
      </c>
      <c r="C40" s="52">
        <v>44</v>
      </c>
      <c r="D40" s="52">
        <v>29</v>
      </c>
      <c r="E40" s="52">
        <v>0</v>
      </c>
      <c r="F40" s="52">
        <v>22</v>
      </c>
      <c r="G40" s="58">
        <v>0</v>
      </c>
      <c r="H40" s="52">
        <v>0</v>
      </c>
      <c r="I40" s="52">
        <v>0</v>
      </c>
      <c r="J40" s="52">
        <v>0</v>
      </c>
      <c r="K40" s="52">
        <v>64</v>
      </c>
      <c r="L40" s="52">
        <v>53</v>
      </c>
      <c r="M40" s="52">
        <v>48</v>
      </c>
      <c r="N40" s="52">
        <f t="shared" si="1"/>
        <v>298</v>
      </c>
    </row>
    <row r="41" spans="1:14" ht="16.2" x14ac:dyDescent="0.25">
      <c r="A41" s="50" t="s">
        <v>122</v>
      </c>
      <c r="B41" s="52">
        <v>0</v>
      </c>
      <c r="C41" s="52">
        <v>0</v>
      </c>
      <c r="D41" s="52">
        <v>0</v>
      </c>
      <c r="E41" s="52">
        <v>0</v>
      </c>
      <c r="F41" s="52">
        <v>7</v>
      </c>
      <c r="G41" s="58">
        <v>14</v>
      </c>
      <c r="H41" s="52">
        <v>41</v>
      </c>
      <c r="I41" s="52">
        <v>42</v>
      </c>
      <c r="J41" s="52">
        <v>33</v>
      </c>
      <c r="K41" s="52">
        <v>0</v>
      </c>
      <c r="L41" s="52">
        <v>0</v>
      </c>
      <c r="M41" s="52">
        <v>0</v>
      </c>
      <c r="N41" s="52">
        <f t="shared" si="1"/>
        <v>137</v>
      </c>
    </row>
    <row r="42" spans="1:14" ht="16.2" x14ac:dyDescent="0.25">
      <c r="A42" s="50" t="s">
        <v>151</v>
      </c>
      <c r="B42" s="52">
        <v>13</v>
      </c>
      <c r="C42" s="52">
        <v>21</v>
      </c>
      <c r="D42" s="52">
        <v>9</v>
      </c>
      <c r="E42" s="52">
        <v>0</v>
      </c>
      <c r="F42" s="52">
        <v>11</v>
      </c>
      <c r="G42" s="58">
        <v>0</v>
      </c>
      <c r="H42" s="52">
        <v>0</v>
      </c>
      <c r="I42" s="52">
        <v>0</v>
      </c>
      <c r="J42" s="52">
        <v>0</v>
      </c>
      <c r="K42" s="52">
        <v>16</v>
      </c>
      <c r="L42" s="52">
        <v>16</v>
      </c>
      <c r="M42" s="52">
        <v>25</v>
      </c>
      <c r="N42" s="52">
        <f t="shared" si="1"/>
        <v>111</v>
      </c>
    </row>
    <row r="43" spans="1:14" ht="16.2" x14ac:dyDescent="0.25">
      <c r="A43" s="50" t="s">
        <v>123</v>
      </c>
      <c r="B43" s="52">
        <v>0</v>
      </c>
      <c r="C43" s="52">
        <v>0</v>
      </c>
      <c r="D43" s="52">
        <v>0</v>
      </c>
      <c r="E43" s="52">
        <v>0</v>
      </c>
      <c r="F43" s="52">
        <v>4</v>
      </c>
      <c r="G43" s="58">
        <v>9</v>
      </c>
      <c r="H43" s="52">
        <v>13</v>
      </c>
      <c r="I43" s="52">
        <v>14</v>
      </c>
      <c r="J43" s="52">
        <v>15</v>
      </c>
      <c r="K43" s="52">
        <v>0</v>
      </c>
      <c r="L43" s="52">
        <v>0</v>
      </c>
      <c r="M43" s="52">
        <v>0</v>
      </c>
      <c r="N43" s="52">
        <f t="shared" si="1"/>
        <v>55</v>
      </c>
    </row>
    <row r="44" spans="1:14" ht="16.2" x14ac:dyDescent="0.25">
      <c r="A44" s="50" t="s">
        <v>152</v>
      </c>
      <c r="B44" s="52">
        <v>6</v>
      </c>
      <c r="C44" s="52">
        <v>10</v>
      </c>
      <c r="D44" s="52">
        <v>4</v>
      </c>
      <c r="E44" s="52">
        <v>0</v>
      </c>
      <c r="F44" s="52">
        <v>1</v>
      </c>
      <c r="G44" s="58">
        <v>0</v>
      </c>
      <c r="H44" s="52">
        <v>0</v>
      </c>
      <c r="I44" s="52">
        <v>0</v>
      </c>
      <c r="J44" s="52">
        <v>0</v>
      </c>
      <c r="K44" s="52">
        <v>13</v>
      </c>
      <c r="L44" s="52">
        <v>10</v>
      </c>
      <c r="M44" s="52">
        <v>14</v>
      </c>
      <c r="N44" s="52">
        <f t="shared" si="1"/>
        <v>58</v>
      </c>
    </row>
    <row r="45" spans="1:14" ht="16.2" x14ac:dyDescent="0.25">
      <c r="A45" s="50" t="s">
        <v>124</v>
      </c>
      <c r="B45" s="52">
        <v>0</v>
      </c>
      <c r="C45" s="52">
        <v>0</v>
      </c>
      <c r="D45" s="52">
        <v>0</v>
      </c>
      <c r="E45" s="52">
        <v>0</v>
      </c>
      <c r="F45" s="52">
        <v>3</v>
      </c>
      <c r="G45" s="58">
        <v>5</v>
      </c>
      <c r="H45" s="52">
        <v>8</v>
      </c>
      <c r="I45" s="52">
        <v>2</v>
      </c>
      <c r="J45" s="52">
        <v>1</v>
      </c>
      <c r="K45" s="52">
        <v>0</v>
      </c>
      <c r="L45" s="52">
        <v>0</v>
      </c>
      <c r="M45" s="52">
        <v>0</v>
      </c>
      <c r="N45" s="52">
        <f t="shared" si="1"/>
        <v>19</v>
      </c>
    </row>
    <row r="46" spans="1:14" ht="16.2" x14ac:dyDescent="0.25">
      <c r="A46" s="50" t="s">
        <v>153</v>
      </c>
      <c r="B46" s="52">
        <v>3</v>
      </c>
      <c r="C46" s="52">
        <v>5</v>
      </c>
      <c r="D46" s="52">
        <v>0</v>
      </c>
      <c r="E46" s="52">
        <v>0</v>
      </c>
      <c r="F46" s="52">
        <v>2</v>
      </c>
      <c r="G46" s="58">
        <v>0</v>
      </c>
      <c r="H46" s="52">
        <v>0</v>
      </c>
      <c r="I46" s="52">
        <v>0</v>
      </c>
      <c r="J46" s="52">
        <v>0</v>
      </c>
      <c r="K46" s="52">
        <v>3</v>
      </c>
      <c r="L46" s="52">
        <v>5</v>
      </c>
      <c r="M46" s="52">
        <v>7</v>
      </c>
      <c r="N46" s="52">
        <f t="shared" si="1"/>
        <v>25</v>
      </c>
    </row>
    <row r="47" spans="1:14" ht="16.2" x14ac:dyDescent="0.25">
      <c r="A47" s="50" t="s">
        <v>125</v>
      </c>
      <c r="B47" s="52">
        <v>0</v>
      </c>
      <c r="C47" s="52">
        <v>0</v>
      </c>
      <c r="D47" s="52">
        <v>0</v>
      </c>
      <c r="E47" s="52">
        <v>0</v>
      </c>
      <c r="F47" s="52">
        <v>0</v>
      </c>
      <c r="G47" s="58">
        <v>4</v>
      </c>
      <c r="H47" s="52">
        <v>3</v>
      </c>
      <c r="I47" s="52">
        <v>5</v>
      </c>
      <c r="J47" s="52">
        <v>0</v>
      </c>
      <c r="K47" s="52">
        <v>0</v>
      </c>
      <c r="L47" s="52">
        <v>0</v>
      </c>
      <c r="M47" s="52">
        <v>0</v>
      </c>
      <c r="N47" s="52">
        <f t="shared" si="1"/>
        <v>12</v>
      </c>
    </row>
    <row r="48" spans="1:14" ht="16.2" x14ac:dyDescent="0.25">
      <c r="A48" s="50" t="s">
        <v>154</v>
      </c>
      <c r="B48" s="52">
        <v>0</v>
      </c>
      <c r="C48" s="52">
        <v>2</v>
      </c>
      <c r="D48" s="52">
        <v>3</v>
      </c>
      <c r="E48" s="52">
        <v>0</v>
      </c>
      <c r="F48" s="52">
        <v>0</v>
      </c>
      <c r="G48" s="58">
        <v>0</v>
      </c>
      <c r="H48" s="52">
        <v>0</v>
      </c>
      <c r="I48" s="52">
        <v>0</v>
      </c>
      <c r="J48" s="52">
        <v>0</v>
      </c>
      <c r="K48" s="52">
        <v>2</v>
      </c>
      <c r="L48" s="52">
        <v>1</v>
      </c>
      <c r="M48" s="52">
        <v>0</v>
      </c>
      <c r="N48" s="52">
        <f t="shared" si="1"/>
        <v>8</v>
      </c>
    </row>
    <row r="49" spans="1:14" ht="16.2" x14ac:dyDescent="0.25">
      <c r="A49" s="50" t="s">
        <v>126</v>
      </c>
      <c r="B49" s="52">
        <v>0</v>
      </c>
      <c r="C49" s="52">
        <v>0</v>
      </c>
      <c r="D49" s="52">
        <v>0</v>
      </c>
      <c r="E49" s="52">
        <v>0</v>
      </c>
      <c r="F49" s="52">
        <v>1</v>
      </c>
      <c r="G49" s="58">
        <v>4</v>
      </c>
      <c r="H49" s="52">
        <v>8</v>
      </c>
      <c r="I49" s="52">
        <v>3</v>
      </c>
      <c r="J49" s="52">
        <v>12</v>
      </c>
      <c r="K49" s="52">
        <v>0</v>
      </c>
      <c r="L49" s="52">
        <v>0</v>
      </c>
      <c r="M49" s="52">
        <v>0</v>
      </c>
      <c r="N49" s="52">
        <f t="shared" si="1"/>
        <v>28</v>
      </c>
    </row>
    <row r="50" spans="1:14" ht="16.2" x14ac:dyDescent="0.25">
      <c r="A50" s="57" t="s">
        <v>155</v>
      </c>
      <c r="B50" s="55">
        <v>5</v>
      </c>
      <c r="C50" s="52">
        <v>2</v>
      </c>
      <c r="D50" s="52">
        <v>2</v>
      </c>
      <c r="E50" s="52">
        <v>0</v>
      </c>
      <c r="F50" s="52">
        <v>4</v>
      </c>
      <c r="G50" s="58">
        <v>0</v>
      </c>
      <c r="H50" s="52">
        <v>0</v>
      </c>
      <c r="I50" s="52">
        <v>0</v>
      </c>
      <c r="J50" s="52">
        <v>0</v>
      </c>
      <c r="K50" s="52">
        <v>3</v>
      </c>
      <c r="L50" s="52">
        <v>2</v>
      </c>
      <c r="M50" s="52">
        <v>7</v>
      </c>
      <c r="N50" s="52">
        <f t="shared" si="1"/>
        <v>25</v>
      </c>
    </row>
    <row r="51" spans="1:14" ht="16.2" x14ac:dyDescent="0.25">
      <c r="A51" s="56" t="s">
        <v>77</v>
      </c>
      <c r="B51" s="58">
        <v>18</v>
      </c>
      <c r="C51" s="52">
        <v>17</v>
      </c>
      <c r="D51" s="52">
        <v>10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8">
        <f t="shared" si="1"/>
        <v>45</v>
      </c>
    </row>
    <row r="52" spans="1:14" ht="16.2" x14ac:dyDescent="0.25">
      <c r="A52" s="59" t="s">
        <v>26</v>
      </c>
      <c r="B52" s="58">
        <v>704</v>
      </c>
      <c r="C52" s="52">
        <v>690</v>
      </c>
      <c r="D52" s="52">
        <v>706</v>
      </c>
      <c r="E52" s="52">
        <v>688</v>
      </c>
      <c r="F52" s="52">
        <v>707</v>
      </c>
      <c r="G52" s="52">
        <v>696</v>
      </c>
      <c r="H52" s="52">
        <v>735</v>
      </c>
      <c r="I52" s="52">
        <v>725</v>
      </c>
      <c r="J52" s="52">
        <v>701</v>
      </c>
      <c r="K52" s="52">
        <v>718</v>
      </c>
      <c r="L52" s="52">
        <v>690</v>
      </c>
      <c r="M52" s="52">
        <v>715</v>
      </c>
      <c r="N52" s="58">
        <f t="shared" si="1"/>
        <v>8475</v>
      </c>
    </row>
    <row r="53" spans="1:14" ht="16.2" x14ac:dyDescent="0.25">
      <c r="A53" s="56" t="s">
        <v>158</v>
      </c>
      <c r="B53">
        <f t="shared" ref="B53:N53" si="2">SUM(B4:B52)</f>
        <v>12639</v>
      </c>
      <c r="C53">
        <f t="shared" si="2"/>
        <v>14557</v>
      </c>
      <c r="D53">
        <f t="shared" si="2"/>
        <v>9833</v>
      </c>
      <c r="E53">
        <f t="shared" si="2"/>
        <v>5048</v>
      </c>
      <c r="F53">
        <f t="shared" si="2"/>
        <v>37477</v>
      </c>
      <c r="G53">
        <f t="shared" si="2"/>
        <v>13792</v>
      </c>
      <c r="H53">
        <f>SUM(H4:H52)</f>
        <v>17389</v>
      </c>
      <c r="I53">
        <f t="shared" si="2"/>
        <v>17745</v>
      </c>
      <c r="J53">
        <f t="shared" si="2"/>
        <v>15944</v>
      </c>
      <c r="K53">
        <f t="shared" si="2"/>
        <v>14305</v>
      </c>
      <c r="L53">
        <f t="shared" si="2"/>
        <v>12113</v>
      </c>
      <c r="M53">
        <f t="shared" si="2"/>
        <v>12817</v>
      </c>
      <c r="N53">
        <f t="shared" si="2"/>
        <v>183659</v>
      </c>
    </row>
    <row r="55" spans="1:14" ht="16.2" x14ac:dyDescent="0.25">
      <c r="A55" s="39" t="s">
        <v>86</v>
      </c>
      <c r="B55" s="40">
        <f t="shared" ref="B55:D55" si="3">+B4+B8+B5+B6</f>
        <v>3530</v>
      </c>
      <c r="C55" s="40">
        <f t="shared" si="3"/>
        <v>3390</v>
      </c>
      <c r="D55" s="40">
        <f t="shared" si="3"/>
        <v>2520</v>
      </c>
      <c r="E55" s="40">
        <f>+E4+E8+E5+E6</f>
        <v>2410</v>
      </c>
      <c r="F55" s="40">
        <f t="shared" ref="F55:N55" si="4">+F4+F8+F5+F6</f>
        <v>16710</v>
      </c>
      <c r="G55" s="40">
        <f t="shared" si="4"/>
        <v>3340</v>
      </c>
      <c r="H55" s="40">
        <f t="shared" si="4"/>
        <v>3450</v>
      </c>
      <c r="I55" s="40">
        <f t="shared" si="4"/>
        <v>3410</v>
      </c>
      <c r="J55" s="40">
        <f t="shared" si="4"/>
        <v>4090</v>
      </c>
      <c r="K55" s="40">
        <f t="shared" si="4"/>
        <v>3860</v>
      </c>
      <c r="L55" s="40">
        <f t="shared" si="4"/>
        <v>3870</v>
      </c>
      <c r="M55" s="40">
        <f t="shared" si="4"/>
        <v>3980</v>
      </c>
      <c r="N55" s="40">
        <f t="shared" si="4"/>
        <v>54560</v>
      </c>
    </row>
    <row r="56" spans="1:14" ht="16.2" x14ac:dyDescent="0.25">
      <c r="A56" s="39" t="s">
        <v>157</v>
      </c>
      <c r="B56" s="40">
        <f>+B12+B30</f>
        <v>3500</v>
      </c>
      <c r="C56" s="40">
        <f t="shared" ref="C56:M56" si="5">+C12+C30</f>
        <v>3750</v>
      </c>
      <c r="D56" s="40">
        <f t="shared" si="5"/>
        <v>2525</v>
      </c>
      <c r="E56" s="40">
        <f t="shared" si="5"/>
        <v>1950</v>
      </c>
      <c r="F56" s="40">
        <f t="shared" si="5"/>
        <v>14975</v>
      </c>
      <c r="G56" s="40">
        <f t="shared" si="5"/>
        <v>3400</v>
      </c>
      <c r="H56" s="40">
        <f t="shared" si="5"/>
        <v>4050</v>
      </c>
      <c r="I56" s="40">
        <f t="shared" si="5"/>
        <v>3975</v>
      </c>
      <c r="J56" s="40">
        <f t="shared" si="5"/>
        <v>4050</v>
      </c>
      <c r="K56" s="40">
        <f t="shared" si="5"/>
        <v>3725</v>
      </c>
      <c r="L56" s="40">
        <f t="shared" si="5"/>
        <v>2850</v>
      </c>
      <c r="M56" s="40">
        <f t="shared" si="5"/>
        <v>2925</v>
      </c>
      <c r="N56" s="40">
        <f>+N12+N30</f>
        <v>51675</v>
      </c>
    </row>
    <row r="57" spans="1:14" ht="16.2" x14ac:dyDescent="0.25">
      <c r="A57" s="33" t="s">
        <v>50</v>
      </c>
      <c r="B57" s="40">
        <f>+B4+B7+B8+B9+B15+B16+B19+B20+B23+B24+B27+B28+B33+B34+B35+B36+B37+B38+B39+B40+B41+B42+B43+B44+B45+B46+B47+B48+B49+B50</f>
        <v>4829</v>
      </c>
      <c r="C57" s="40">
        <f t="shared" ref="C57:H57" si="6">+C4+C7+C8+C9+C15+C16+C19+C20+C23+C24+C27+C28+C33+C34+C35+C36+C37+C38+C39+C40+C41+C42+C43+C44+C45+C46+C47+C48+C49+C50</f>
        <v>5500</v>
      </c>
      <c r="D57" s="40">
        <f t="shared" si="6"/>
        <v>3765</v>
      </c>
      <c r="E57" s="40">
        <f t="shared" si="6"/>
        <v>1670</v>
      </c>
      <c r="F57" s="40">
        <f t="shared" si="6"/>
        <v>11354</v>
      </c>
      <c r="G57" s="40">
        <f t="shared" si="6"/>
        <v>4994</v>
      </c>
      <c r="H57" s="40">
        <f t="shared" si="6"/>
        <v>6158</v>
      </c>
      <c r="I57" s="40">
        <f>+I4+I7+I8+I9+I15+I16+I19+I20+I23+I24+I27+I28+I33+I34+I35+I36+I37+I38+I39+I40+I41+I42+I43+I44+I45+I46+I47+I48+I49+I50+I17</f>
        <v>6438</v>
      </c>
      <c r="J57" s="40">
        <f t="shared" ref="J57:N57" si="7">+J4+J7+J8+J9+J15+J16+J19+J20+J23+J24+J27+J28+J33+J34+J35+J36+J37+J38+J39+J40+J41+J42+J43+J44+J45+J46+J47+J48+J49+J50+J17</f>
        <v>5748</v>
      </c>
      <c r="K57" s="40">
        <f t="shared" si="7"/>
        <v>5380</v>
      </c>
      <c r="L57" s="40">
        <f t="shared" si="7"/>
        <v>4886</v>
      </c>
      <c r="M57" s="40">
        <f t="shared" si="7"/>
        <v>5161</v>
      </c>
      <c r="N57" s="40">
        <f t="shared" si="7"/>
        <v>65883</v>
      </c>
    </row>
    <row r="58" spans="1:14" ht="16.2" x14ac:dyDescent="0.25">
      <c r="A58" s="33" t="s">
        <v>28</v>
      </c>
      <c r="B58" s="40">
        <f>SUM(B4:B50)-B22-B29-B21</f>
        <v>11897</v>
      </c>
      <c r="C58" s="40">
        <f t="shared" ref="C58:M58" si="8">SUM(C4:C50)-C22-C29-C21</f>
        <v>13832</v>
      </c>
      <c r="D58" s="40">
        <f t="shared" si="8"/>
        <v>9107</v>
      </c>
      <c r="E58" s="40">
        <f t="shared" si="8"/>
        <v>4360</v>
      </c>
      <c r="F58" s="40">
        <f t="shared" si="8"/>
        <v>36769</v>
      </c>
      <c r="G58" s="40">
        <f t="shared" si="8"/>
        <v>13093</v>
      </c>
      <c r="H58" s="40">
        <f t="shared" si="8"/>
        <v>16646</v>
      </c>
      <c r="I58" s="40">
        <f t="shared" si="8"/>
        <v>17020</v>
      </c>
      <c r="J58" s="40">
        <f t="shared" si="8"/>
        <v>15221</v>
      </c>
      <c r="K58" s="40">
        <f t="shared" si="8"/>
        <v>13584</v>
      </c>
      <c r="L58" s="40">
        <f t="shared" si="8"/>
        <v>11423</v>
      </c>
      <c r="M58" s="40">
        <f t="shared" si="8"/>
        <v>12087</v>
      </c>
      <c r="N58" s="40">
        <f>SUM(N4:N50)-N22-N29-N21</f>
        <v>175039</v>
      </c>
    </row>
    <row r="59" spans="1:14" ht="16.2" x14ac:dyDescent="0.25">
      <c r="A59" s="33" t="s">
        <v>46</v>
      </c>
      <c r="B59" s="40">
        <f>SUM(B4:B50)-B22-B29-B51-B52-B21</f>
        <v>11175</v>
      </c>
      <c r="C59" s="40">
        <f t="shared" ref="C59:M59" si="9">SUM(C4:C50)-C22-C29-C51-C52-C21</f>
        <v>13125</v>
      </c>
      <c r="D59" s="40">
        <f t="shared" si="9"/>
        <v>8391</v>
      </c>
      <c r="E59" s="40">
        <f t="shared" si="9"/>
        <v>3672</v>
      </c>
      <c r="F59" s="40">
        <f t="shared" si="9"/>
        <v>36062</v>
      </c>
      <c r="G59" s="40">
        <f t="shared" si="9"/>
        <v>12397</v>
      </c>
      <c r="H59" s="40">
        <f t="shared" si="9"/>
        <v>15911</v>
      </c>
      <c r="I59" s="40">
        <f t="shared" si="9"/>
        <v>16295</v>
      </c>
      <c r="J59" s="40">
        <f t="shared" si="9"/>
        <v>14520</v>
      </c>
      <c r="K59" s="40">
        <f t="shared" si="9"/>
        <v>12866</v>
      </c>
      <c r="L59" s="40">
        <f t="shared" si="9"/>
        <v>10733</v>
      </c>
      <c r="M59" s="40">
        <f t="shared" si="9"/>
        <v>11372</v>
      </c>
      <c r="N59" s="40">
        <f>SUM(N4:N50)-N22-N29-N51-N52-N21</f>
        <v>166519</v>
      </c>
    </row>
    <row r="60" spans="1:14" ht="16.2" x14ac:dyDescent="0.25">
      <c r="A60" s="33" t="s">
        <v>52</v>
      </c>
      <c r="B60" s="40">
        <f>+B10+B11+B12+B13+B14+B25+B26+B31+B32</f>
        <v>4102</v>
      </c>
      <c r="C60" s="40">
        <f t="shared" ref="C60:M60" si="10">+C10+C11+C12+C13+C14+C25+C26+C31+C32</f>
        <v>5315</v>
      </c>
      <c r="D60" s="40">
        <f t="shared" si="10"/>
        <v>3191</v>
      </c>
      <c r="E60" s="40">
        <f t="shared" si="10"/>
        <v>700</v>
      </c>
      <c r="F60" s="40">
        <f t="shared" si="10"/>
        <v>9659</v>
      </c>
      <c r="G60" s="40">
        <f t="shared" si="10"/>
        <v>4672</v>
      </c>
      <c r="H60" s="40">
        <f t="shared" si="10"/>
        <v>6718</v>
      </c>
      <c r="I60" s="40">
        <f t="shared" si="10"/>
        <v>7304</v>
      </c>
      <c r="J60" s="40">
        <f t="shared" si="10"/>
        <v>5540</v>
      </c>
      <c r="K60" s="40">
        <f t="shared" si="10"/>
        <v>4723</v>
      </c>
      <c r="L60" s="40">
        <f t="shared" si="10"/>
        <v>3380</v>
      </c>
      <c r="M60" s="40">
        <f t="shared" si="10"/>
        <v>3961</v>
      </c>
      <c r="N60" s="40">
        <f>+N10+N11+N12+N13+N14+N25+N26+N31+N32</f>
        <v>59265</v>
      </c>
    </row>
    <row r="61" spans="1:14" ht="16.2" x14ac:dyDescent="0.25">
      <c r="A61" s="36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5" spans="1:14" ht="16.2" x14ac:dyDescent="0.25">
      <c r="A65" s="39" t="s">
        <v>179</v>
      </c>
      <c r="B65" s="40">
        <f>+B4+B7+B8+B9+B5+B6</f>
        <v>3530</v>
      </c>
      <c r="C65" s="40">
        <f t="shared" ref="C65:N65" si="11">+C4+C7+C8+C9+C5+C6</f>
        <v>3390</v>
      </c>
      <c r="D65" s="40">
        <f t="shared" si="11"/>
        <v>2520</v>
      </c>
      <c r="E65" s="40">
        <f t="shared" si="11"/>
        <v>2410</v>
      </c>
      <c r="F65" s="40">
        <f t="shared" si="11"/>
        <v>16790</v>
      </c>
      <c r="G65" s="40">
        <f t="shared" si="11"/>
        <v>3380</v>
      </c>
      <c r="H65" s="40">
        <f t="shared" si="11"/>
        <v>3530</v>
      </c>
      <c r="I65" s="40">
        <f t="shared" si="11"/>
        <v>3410</v>
      </c>
      <c r="J65" s="40">
        <f t="shared" si="11"/>
        <v>4110</v>
      </c>
      <c r="K65" s="40">
        <f t="shared" si="11"/>
        <v>3860</v>
      </c>
      <c r="L65" s="40">
        <f t="shared" si="11"/>
        <v>3870</v>
      </c>
      <c r="M65" s="40">
        <f t="shared" si="11"/>
        <v>3980</v>
      </c>
      <c r="N65" s="40">
        <f t="shared" si="11"/>
        <v>54780</v>
      </c>
    </row>
    <row r="66" spans="1:14" ht="16.2" x14ac:dyDescent="0.25">
      <c r="A66" s="39" t="s">
        <v>177</v>
      </c>
      <c r="B66" s="40">
        <f>+B15+B16+B23+B24</f>
        <v>2357</v>
      </c>
      <c r="C66" s="40">
        <f t="shared" ref="C66:N66" si="12">+C15+C16+C23+C24</f>
        <v>3006</v>
      </c>
      <c r="D66" s="40">
        <f t="shared" si="12"/>
        <v>2002</v>
      </c>
      <c r="E66" s="40">
        <f t="shared" si="12"/>
        <v>0</v>
      </c>
      <c r="F66" s="40">
        <f t="shared" si="12"/>
        <v>2443</v>
      </c>
      <c r="G66" s="40">
        <f t="shared" si="12"/>
        <v>2847</v>
      </c>
      <c r="H66" s="40">
        <f t="shared" si="12"/>
        <v>3713</v>
      </c>
      <c r="I66" s="40">
        <f t="shared" si="12"/>
        <v>3873</v>
      </c>
      <c r="J66" s="40">
        <f t="shared" si="12"/>
        <v>3023</v>
      </c>
      <c r="K66" s="40">
        <f t="shared" si="12"/>
        <v>2856</v>
      </c>
      <c r="L66" s="40">
        <f t="shared" si="12"/>
        <v>2234</v>
      </c>
      <c r="M66" s="40">
        <f t="shared" si="12"/>
        <v>2529</v>
      </c>
      <c r="N66" s="40">
        <f t="shared" si="12"/>
        <v>30883</v>
      </c>
    </row>
    <row r="67" spans="1:14" ht="16.2" x14ac:dyDescent="0.25">
      <c r="A67" s="33" t="s">
        <v>178</v>
      </c>
      <c r="B67" s="40">
        <f>+B19+B20+B27+B28</f>
        <v>1</v>
      </c>
      <c r="C67" s="40">
        <f t="shared" ref="C67:N67" si="13">+C19+C20+C27+C28</f>
        <v>0</v>
      </c>
      <c r="D67" s="40">
        <f t="shared" si="13"/>
        <v>1</v>
      </c>
      <c r="E67" s="40">
        <f t="shared" si="13"/>
        <v>0</v>
      </c>
      <c r="F67" s="40">
        <f t="shared" si="13"/>
        <v>17</v>
      </c>
      <c r="G67" s="40">
        <f t="shared" si="13"/>
        <v>22</v>
      </c>
      <c r="H67" s="40">
        <f t="shared" si="13"/>
        <v>26</v>
      </c>
      <c r="I67" s="40">
        <f t="shared" si="13"/>
        <v>43</v>
      </c>
      <c r="J67" s="40">
        <f t="shared" si="13"/>
        <v>39</v>
      </c>
      <c r="K67" s="40">
        <f t="shared" si="13"/>
        <v>17</v>
      </c>
      <c r="L67" s="40">
        <f t="shared" si="13"/>
        <v>8</v>
      </c>
      <c r="M67" s="40">
        <f t="shared" si="13"/>
        <v>0</v>
      </c>
      <c r="N67" s="40">
        <f t="shared" si="13"/>
        <v>174</v>
      </c>
    </row>
    <row r="68" spans="1:14" ht="16.2" x14ac:dyDescent="0.25">
      <c r="A68" s="33" t="s">
        <v>180</v>
      </c>
      <c r="B68" s="40">
        <f>+B33+B34+B35+B36+B37+B38+B39+B40+B41+B42+B43+B44+B45+B46+B47+B48+B49+B50</f>
        <v>381</v>
      </c>
      <c r="C68" s="40">
        <f t="shared" ref="C68:H68" si="14">+C33+C34+C35+C36+C37+C38+C39+C40+C41+C42+C43+C44+C45+C46+C47+C48+C49+C50</f>
        <v>494</v>
      </c>
      <c r="D68" s="40">
        <f t="shared" si="14"/>
        <v>242</v>
      </c>
      <c r="E68" s="40">
        <f t="shared" si="14"/>
        <v>0</v>
      </c>
      <c r="F68" s="40">
        <f t="shared" si="14"/>
        <v>434</v>
      </c>
      <c r="G68" s="40">
        <f t="shared" si="14"/>
        <v>595</v>
      </c>
      <c r="H68" s="40">
        <f t="shared" si="14"/>
        <v>629</v>
      </c>
      <c r="I68" s="40">
        <f>+I33+I34+I35+I36+I37+I38+I39+I40+I41+I42+I43+I44+I45+I46+I47+I48+I49+I50+I17</f>
        <v>612</v>
      </c>
      <c r="J68" s="40">
        <f t="shared" ref="J68:N68" si="15">+J33+J34+J35+J36+J37+J38+J39+J40+J41+J42+J43+J44+J45+J46+J47+J48+J49+J50+J17</f>
        <v>556</v>
      </c>
      <c r="K68" s="40">
        <f t="shared" si="15"/>
        <v>527</v>
      </c>
      <c r="L68" s="40">
        <f t="shared" si="15"/>
        <v>454</v>
      </c>
      <c r="M68" s="40">
        <f t="shared" si="15"/>
        <v>442</v>
      </c>
      <c r="N68" s="40">
        <f t="shared" si="15"/>
        <v>5366</v>
      </c>
    </row>
    <row r="69" spans="1:14" ht="16.2" x14ac:dyDescent="0.25">
      <c r="A69" s="33" t="s">
        <v>157</v>
      </c>
      <c r="B69" s="40">
        <f>+B12+B30</f>
        <v>3500</v>
      </c>
      <c r="C69" s="40">
        <f t="shared" ref="C69:N69" si="16">+C12+C30</f>
        <v>3750</v>
      </c>
      <c r="D69" s="40">
        <f t="shared" si="16"/>
        <v>2525</v>
      </c>
      <c r="E69" s="40">
        <f t="shared" si="16"/>
        <v>1950</v>
      </c>
      <c r="F69" s="40">
        <f t="shared" si="16"/>
        <v>14975</v>
      </c>
      <c r="G69" s="40">
        <f t="shared" si="16"/>
        <v>3400</v>
      </c>
      <c r="H69" s="40">
        <f t="shared" si="16"/>
        <v>4050</v>
      </c>
      <c r="I69" s="40">
        <f t="shared" si="16"/>
        <v>3975</v>
      </c>
      <c r="J69" s="40">
        <f t="shared" si="16"/>
        <v>4050</v>
      </c>
      <c r="K69" s="40">
        <f t="shared" si="16"/>
        <v>3725</v>
      </c>
      <c r="L69" s="40">
        <f t="shared" si="16"/>
        <v>2850</v>
      </c>
      <c r="M69" s="40">
        <f t="shared" si="16"/>
        <v>2925</v>
      </c>
      <c r="N69" s="40">
        <f t="shared" si="16"/>
        <v>51675</v>
      </c>
    </row>
    <row r="70" spans="1:14" ht="16.2" x14ac:dyDescent="0.25">
      <c r="A70" s="33" t="s">
        <v>181</v>
      </c>
      <c r="B70" s="40">
        <f>+B13+B14+B25+B26</f>
        <v>2127</v>
      </c>
      <c r="C70" s="40">
        <f t="shared" ref="C70:N70" si="17">+C13+C14+C25+C26</f>
        <v>3190</v>
      </c>
      <c r="D70" s="40">
        <f t="shared" si="17"/>
        <v>1816</v>
      </c>
      <c r="E70" s="40">
        <f t="shared" si="17"/>
        <v>0</v>
      </c>
      <c r="F70" s="40">
        <f t="shared" si="17"/>
        <v>2109</v>
      </c>
      <c r="G70" s="40">
        <f t="shared" si="17"/>
        <v>2847</v>
      </c>
      <c r="H70" s="40">
        <f t="shared" si="17"/>
        <v>4693</v>
      </c>
      <c r="I70" s="40">
        <f t="shared" si="17"/>
        <v>5104</v>
      </c>
      <c r="J70" s="40">
        <f t="shared" si="17"/>
        <v>3440</v>
      </c>
      <c r="K70" s="40">
        <f t="shared" si="17"/>
        <v>2598</v>
      </c>
      <c r="L70" s="40">
        <f t="shared" si="17"/>
        <v>2005</v>
      </c>
      <c r="M70" s="40">
        <f t="shared" si="17"/>
        <v>2211</v>
      </c>
      <c r="N70" s="40">
        <f t="shared" si="17"/>
        <v>32140</v>
      </c>
    </row>
    <row r="71" spans="1:14" ht="16.2" x14ac:dyDescent="0.25">
      <c r="A71" s="33" t="s">
        <v>182</v>
      </c>
      <c r="B71" s="40">
        <f>+B10+B11+B31+B32</f>
        <v>0</v>
      </c>
      <c r="C71" s="40">
        <f t="shared" ref="C71:N71" si="18">+C10+C11+C31+C32</f>
        <v>0</v>
      </c>
      <c r="D71" s="40">
        <f t="shared" si="18"/>
        <v>0</v>
      </c>
      <c r="E71" s="40">
        <f t="shared" si="18"/>
        <v>0</v>
      </c>
      <c r="F71" s="40">
        <f t="shared" si="18"/>
        <v>0</v>
      </c>
      <c r="G71" s="40">
        <f t="shared" si="18"/>
        <v>0</v>
      </c>
      <c r="H71" s="40">
        <f t="shared" si="18"/>
        <v>0</v>
      </c>
      <c r="I71" s="40">
        <f t="shared" si="18"/>
        <v>0</v>
      </c>
      <c r="J71" s="40">
        <f t="shared" si="18"/>
        <v>0</v>
      </c>
      <c r="K71" s="40">
        <f t="shared" si="18"/>
        <v>0</v>
      </c>
      <c r="L71" s="40">
        <f t="shared" si="18"/>
        <v>0</v>
      </c>
      <c r="M71" s="40">
        <f t="shared" si="18"/>
        <v>0</v>
      </c>
      <c r="N71" s="40">
        <f t="shared" si="18"/>
        <v>0</v>
      </c>
    </row>
  </sheetData>
  <pageMargins left="0.7" right="0.7" top="0.75" bottom="0.75" header="0.3" footer="0.3"/>
  <pageSetup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1"/>
  <sheetViews>
    <sheetView workbookViewId="0">
      <pane xSplit="1" ySplit="3" topLeftCell="K4" activePane="bottomRight" state="frozen"/>
      <selection pane="topRight" activeCell="B1" sqref="B1"/>
      <selection pane="bottomLeft" activeCell="A4" sqref="A4"/>
      <selection pane="bottomRight" activeCell="L6" sqref="L6"/>
    </sheetView>
  </sheetViews>
  <sheetFormatPr defaultRowHeight="15" x14ac:dyDescent="0.25"/>
  <cols>
    <col min="1" max="1" width="27" customWidth="1"/>
  </cols>
  <sheetData>
    <row r="1" spans="1:14" ht="18.600000000000001" x14ac:dyDescent="0.25">
      <c r="A1" s="48" t="s">
        <v>198</v>
      </c>
    </row>
    <row r="2" spans="1:14" x14ac:dyDescent="0.25">
      <c r="A2" s="49"/>
    </row>
    <row r="3" spans="1:14" ht="16.8" x14ac:dyDescent="0.25">
      <c r="A3" s="49"/>
      <c r="B3" s="47" t="s">
        <v>29</v>
      </c>
      <c r="C3" s="34" t="s">
        <v>30</v>
      </c>
      <c r="D3" s="34" t="s">
        <v>31</v>
      </c>
      <c r="E3" s="34" t="s">
        <v>32</v>
      </c>
      <c r="F3" s="34" t="s">
        <v>33</v>
      </c>
      <c r="G3" s="34" t="s">
        <v>34</v>
      </c>
      <c r="H3" s="34" t="s">
        <v>35</v>
      </c>
      <c r="I3" s="34" t="s">
        <v>36</v>
      </c>
      <c r="J3" s="34" t="s">
        <v>37</v>
      </c>
      <c r="K3" s="34" t="s">
        <v>38</v>
      </c>
      <c r="L3" s="34" t="s">
        <v>39</v>
      </c>
      <c r="M3" s="34" t="s">
        <v>40</v>
      </c>
      <c r="N3" s="35" t="s">
        <v>41</v>
      </c>
    </row>
    <row r="4" spans="1:14" ht="16.2" x14ac:dyDescent="0.25">
      <c r="A4" s="50" t="s">
        <v>190</v>
      </c>
      <c r="B4" s="52">
        <v>40</v>
      </c>
      <c r="C4" s="52">
        <v>30</v>
      </c>
      <c r="D4" s="52">
        <v>20</v>
      </c>
      <c r="E4" s="52">
        <v>10</v>
      </c>
      <c r="F4" s="52">
        <v>30</v>
      </c>
      <c r="G4" s="58"/>
      <c r="H4" s="52">
        <v>20</v>
      </c>
      <c r="I4" s="52">
        <v>30</v>
      </c>
      <c r="J4" s="52">
        <v>40</v>
      </c>
      <c r="K4" s="52">
        <v>10</v>
      </c>
      <c r="L4" s="52"/>
      <c r="M4" s="52">
        <v>20</v>
      </c>
      <c r="N4" s="52">
        <f>SUM(B4:M4)</f>
        <v>250</v>
      </c>
    </row>
    <row r="5" spans="1:14" ht="16.2" x14ac:dyDescent="0.25">
      <c r="A5" s="50" t="s">
        <v>191</v>
      </c>
      <c r="B5" s="52">
        <v>20</v>
      </c>
      <c r="C5" s="52">
        <v>10</v>
      </c>
      <c r="D5" s="52"/>
      <c r="E5" s="52"/>
      <c r="F5" s="52"/>
      <c r="G5" s="58">
        <v>10</v>
      </c>
      <c r="H5" s="52">
        <v>10</v>
      </c>
      <c r="I5" s="52"/>
      <c r="J5" s="52">
        <v>10</v>
      </c>
      <c r="K5" s="52">
        <v>30</v>
      </c>
      <c r="L5" s="52">
        <v>10</v>
      </c>
      <c r="M5" s="52"/>
      <c r="N5" s="52">
        <f t="shared" ref="N5:N6" si="0">SUM(B5:M5)</f>
        <v>100</v>
      </c>
    </row>
    <row r="6" spans="1:14" ht="16.2" x14ac:dyDescent="0.25">
      <c r="A6" s="50" t="s">
        <v>186</v>
      </c>
      <c r="B6" s="52">
        <v>1740</v>
      </c>
      <c r="C6" s="52">
        <v>820</v>
      </c>
      <c r="D6" s="52">
        <v>860</v>
      </c>
      <c r="E6" s="52">
        <v>1520</v>
      </c>
      <c r="F6" s="52">
        <v>2200</v>
      </c>
      <c r="G6" s="58">
        <v>1760</v>
      </c>
      <c r="H6" s="52">
        <v>1820</v>
      </c>
      <c r="I6" s="52">
        <v>1380</v>
      </c>
      <c r="J6" s="52">
        <v>1340</v>
      </c>
      <c r="K6" s="52">
        <v>1660</v>
      </c>
      <c r="L6" s="52">
        <v>1380</v>
      </c>
      <c r="M6" s="52">
        <v>1480</v>
      </c>
      <c r="N6" s="52">
        <f t="shared" si="0"/>
        <v>17960</v>
      </c>
    </row>
    <row r="7" spans="1:14" ht="16.2" x14ac:dyDescent="0.25">
      <c r="A7" s="50" t="s">
        <v>59</v>
      </c>
      <c r="B7" s="52"/>
      <c r="C7" s="52"/>
      <c r="D7" s="52"/>
      <c r="E7" s="52">
        <v>20</v>
      </c>
      <c r="F7" s="52">
        <v>20</v>
      </c>
      <c r="G7" s="58">
        <v>20</v>
      </c>
      <c r="H7" s="52">
        <v>20</v>
      </c>
      <c r="I7" s="52"/>
      <c r="J7" s="52"/>
      <c r="K7" s="52"/>
      <c r="L7" s="52"/>
      <c r="M7" s="52"/>
      <c r="N7" s="52">
        <f>SUM(B7:M7)</f>
        <v>80</v>
      </c>
    </row>
    <row r="8" spans="1:14" ht="16.2" x14ac:dyDescent="0.25">
      <c r="A8" s="50" t="s">
        <v>187</v>
      </c>
      <c r="B8" s="52">
        <v>1780</v>
      </c>
      <c r="C8" s="52">
        <v>980</v>
      </c>
      <c r="D8" s="52">
        <v>1160</v>
      </c>
      <c r="E8" s="52">
        <v>2560</v>
      </c>
      <c r="F8" s="52">
        <v>2560</v>
      </c>
      <c r="G8" s="58">
        <v>2520</v>
      </c>
      <c r="H8" s="52">
        <v>2340</v>
      </c>
      <c r="I8" s="52">
        <v>2660</v>
      </c>
      <c r="J8" s="52">
        <v>1900</v>
      </c>
      <c r="K8" s="52">
        <v>2620</v>
      </c>
      <c r="L8" s="52">
        <v>2000</v>
      </c>
      <c r="M8" s="52">
        <v>2160</v>
      </c>
      <c r="N8" s="52">
        <f>SUM(B8:M8)</f>
        <v>25240</v>
      </c>
    </row>
    <row r="9" spans="1:14" ht="16.2" x14ac:dyDescent="0.25">
      <c r="A9" s="50" t="s">
        <v>188</v>
      </c>
      <c r="B9" s="52"/>
      <c r="C9" s="52"/>
      <c r="D9" s="52"/>
      <c r="E9" s="52"/>
      <c r="F9" s="52"/>
      <c r="G9" s="58"/>
      <c r="H9" s="52"/>
      <c r="I9" s="52"/>
      <c r="J9" s="52"/>
      <c r="K9" s="52"/>
      <c r="L9" s="52"/>
      <c r="M9" s="52"/>
      <c r="N9" s="52">
        <f>SUM(B9:M9)</f>
        <v>0</v>
      </c>
    </row>
    <row r="10" spans="1:14" ht="16.2" x14ac:dyDescent="0.25">
      <c r="A10" s="50" t="s">
        <v>134</v>
      </c>
      <c r="B10" s="52"/>
      <c r="C10" s="52"/>
      <c r="D10" s="52"/>
      <c r="E10" s="52"/>
      <c r="F10" s="52"/>
      <c r="G10" s="58"/>
      <c r="H10" s="52"/>
      <c r="I10" s="52"/>
      <c r="J10" s="52"/>
      <c r="K10" s="52"/>
      <c r="L10" s="52"/>
      <c r="M10" s="52"/>
      <c r="N10" s="52">
        <f>SUM(B10:M10)</f>
        <v>0</v>
      </c>
    </row>
    <row r="11" spans="1:14" ht="16.2" x14ac:dyDescent="0.25">
      <c r="A11" s="50" t="s">
        <v>135</v>
      </c>
      <c r="B11" s="52"/>
      <c r="C11" s="52"/>
      <c r="D11" s="52"/>
      <c r="E11" s="52"/>
      <c r="F11" s="52"/>
      <c r="G11" s="58"/>
      <c r="H11" s="52"/>
      <c r="I11" s="52"/>
      <c r="J11" s="52"/>
      <c r="K11" s="52"/>
      <c r="L11" s="52"/>
      <c r="M11" s="52"/>
      <c r="N11" s="52">
        <f t="shared" ref="N11:N52" si="1">SUM(B11:M11)</f>
        <v>0</v>
      </c>
    </row>
    <row r="12" spans="1:14" ht="16.2" x14ac:dyDescent="0.25">
      <c r="A12" s="50" t="s">
        <v>199</v>
      </c>
      <c r="B12" s="52">
        <v>1825</v>
      </c>
      <c r="C12" s="52">
        <v>2350</v>
      </c>
      <c r="D12" s="52">
        <v>2650</v>
      </c>
      <c r="E12" s="52">
        <v>1925</v>
      </c>
      <c r="F12" s="52">
        <v>3200</v>
      </c>
      <c r="G12" s="58">
        <v>2750</v>
      </c>
      <c r="H12" s="52">
        <v>2975</v>
      </c>
      <c r="I12" s="52">
        <v>2550</v>
      </c>
      <c r="J12" s="52">
        <v>2425</v>
      </c>
      <c r="K12" s="52">
        <v>2750</v>
      </c>
      <c r="L12" s="52">
        <v>2125</v>
      </c>
      <c r="M12" s="52">
        <v>1700</v>
      </c>
      <c r="N12" s="52">
        <f t="shared" si="1"/>
        <v>29225</v>
      </c>
    </row>
    <row r="13" spans="1:14" ht="16.2" x14ac:dyDescent="0.25">
      <c r="A13" s="50" t="s">
        <v>111</v>
      </c>
      <c r="B13" s="52"/>
      <c r="C13" s="52"/>
      <c r="D13" s="52"/>
      <c r="E13" s="52"/>
      <c r="F13" s="52">
        <v>1310</v>
      </c>
      <c r="G13" s="58">
        <v>3484</v>
      </c>
      <c r="H13" s="52">
        <v>4948</v>
      </c>
      <c r="I13" s="52">
        <v>5110</v>
      </c>
      <c r="J13" s="52">
        <v>2997</v>
      </c>
      <c r="K13" s="52"/>
      <c r="L13" s="52"/>
      <c r="M13" s="52"/>
      <c r="N13" s="52">
        <f t="shared" si="1"/>
        <v>17849</v>
      </c>
    </row>
    <row r="14" spans="1:14" ht="16.2" x14ac:dyDescent="0.25">
      <c r="A14" s="50" t="s">
        <v>136</v>
      </c>
      <c r="B14" s="52">
        <v>1786</v>
      </c>
      <c r="C14" s="52">
        <v>1432</v>
      </c>
      <c r="D14" s="52">
        <v>2641</v>
      </c>
      <c r="E14" s="52">
        <v>2411</v>
      </c>
      <c r="F14" s="52">
        <v>1755</v>
      </c>
      <c r="G14" s="58"/>
      <c r="H14" s="52"/>
      <c r="I14" s="52"/>
      <c r="J14" s="52"/>
      <c r="K14" s="52">
        <v>2068</v>
      </c>
      <c r="L14" s="52">
        <v>2169</v>
      </c>
      <c r="M14" s="52">
        <v>1950</v>
      </c>
      <c r="N14" s="52">
        <f t="shared" si="1"/>
        <v>16212</v>
      </c>
    </row>
    <row r="15" spans="1:14" ht="16.2" x14ac:dyDescent="0.25">
      <c r="A15" s="50" t="s">
        <v>127</v>
      </c>
      <c r="B15" s="52"/>
      <c r="C15" s="52"/>
      <c r="D15" s="52"/>
      <c r="E15" s="52"/>
      <c r="F15" s="52">
        <v>1139</v>
      </c>
      <c r="G15" s="58">
        <v>2671</v>
      </c>
      <c r="H15" s="52">
        <v>3418</v>
      </c>
      <c r="I15" s="52">
        <v>3412</v>
      </c>
      <c r="J15" s="52">
        <v>2374</v>
      </c>
      <c r="K15" s="52"/>
      <c r="L15" s="52"/>
      <c r="M15" s="52"/>
      <c r="N15" s="52">
        <f t="shared" si="1"/>
        <v>13014</v>
      </c>
    </row>
    <row r="16" spans="1:14" ht="16.2" x14ac:dyDescent="0.25">
      <c r="A16" s="50" t="s">
        <v>137</v>
      </c>
      <c r="B16" s="52">
        <v>1903</v>
      </c>
      <c r="C16" s="52">
        <v>1381</v>
      </c>
      <c r="D16" s="52">
        <v>816</v>
      </c>
      <c r="E16" s="52">
        <v>2451</v>
      </c>
      <c r="F16" s="52">
        <v>1604</v>
      </c>
      <c r="G16" s="58"/>
      <c r="H16" s="52"/>
      <c r="I16" s="52"/>
      <c r="J16" s="52"/>
      <c r="K16" s="52">
        <v>2099</v>
      </c>
      <c r="L16" s="52">
        <v>2268</v>
      </c>
      <c r="M16" s="52">
        <v>2082</v>
      </c>
      <c r="N16" s="52">
        <f t="shared" si="1"/>
        <v>14604</v>
      </c>
    </row>
    <row r="17" spans="1:14" ht="16.2" x14ac:dyDescent="0.25">
      <c r="A17" s="50" t="s">
        <v>8</v>
      </c>
      <c r="B17" s="52"/>
      <c r="C17" s="52"/>
      <c r="D17" s="52">
        <v>2</v>
      </c>
      <c r="E17" s="52"/>
      <c r="F17" s="52"/>
      <c r="G17" s="58"/>
      <c r="H17" s="52"/>
      <c r="I17" s="52"/>
      <c r="J17" s="52"/>
      <c r="K17" s="52"/>
      <c r="L17" s="52"/>
      <c r="M17" s="52"/>
      <c r="N17" s="52">
        <f t="shared" si="1"/>
        <v>2</v>
      </c>
    </row>
    <row r="18" spans="1:14" ht="16.2" x14ac:dyDescent="0.25">
      <c r="A18" s="50" t="s">
        <v>62</v>
      </c>
      <c r="B18" s="52"/>
      <c r="C18" s="52"/>
      <c r="D18" s="52"/>
      <c r="E18" s="52">
        <v>2</v>
      </c>
      <c r="F18" s="52">
        <v>2</v>
      </c>
      <c r="G18" s="58">
        <v>2</v>
      </c>
      <c r="H18" s="52"/>
      <c r="I18" s="52">
        <v>2</v>
      </c>
      <c r="J18" s="52"/>
      <c r="K18" s="52"/>
      <c r="L18" s="52">
        <v>2</v>
      </c>
      <c r="M18" s="52">
        <v>1</v>
      </c>
      <c r="N18" s="52">
        <f t="shared" si="1"/>
        <v>11</v>
      </c>
    </row>
    <row r="19" spans="1:14" ht="16.2" x14ac:dyDescent="0.25">
      <c r="A19" s="50" t="s">
        <v>138</v>
      </c>
      <c r="B19" s="52"/>
      <c r="C19" s="52"/>
      <c r="D19" s="52"/>
      <c r="E19" s="52"/>
      <c r="F19" s="52">
        <v>5</v>
      </c>
      <c r="G19" s="58">
        <v>20</v>
      </c>
      <c r="H19" s="52">
        <v>40</v>
      </c>
      <c r="I19" s="52">
        <v>39</v>
      </c>
      <c r="J19" s="52">
        <v>17</v>
      </c>
      <c r="K19" s="52"/>
      <c r="L19" s="52"/>
      <c r="M19" s="52"/>
      <c r="N19" s="52">
        <f t="shared" si="1"/>
        <v>121</v>
      </c>
    </row>
    <row r="20" spans="1:14" ht="16.2" x14ac:dyDescent="0.25">
      <c r="A20" s="50" t="s">
        <v>139</v>
      </c>
      <c r="B20" s="52">
        <v>10</v>
      </c>
      <c r="C20" s="52">
        <v>4</v>
      </c>
      <c r="D20" s="52">
        <v>7</v>
      </c>
      <c r="E20" s="52">
        <v>13</v>
      </c>
      <c r="F20" s="52">
        <v>30</v>
      </c>
      <c r="G20" s="58"/>
      <c r="H20" s="52"/>
      <c r="I20" s="52"/>
      <c r="J20" s="52"/>
      <c r="K20" s="52">
        <v>3</v>
      </c>
      <c r="L20" s="52"/>
      <c r="M20" s="52">
        <v>2</v>
      </c>
      <c r="N20" s="52">
        <f t="shared" si="1"/>
        <v>69</v>
      </c>
    </row>
    <row r="21" spans="1:14" ht="16.2" x14ac:dyDescent="0.25">
      <c r="A21" s="50" t="s">
        <v>11</v>
      </c>
      <c r="B21" s="52">
        <v>19</v>
      </c>
      <c r="C21" s="52">
        <v>18</v>
      </c>
      <c r="D21" s="52">
        <v>20</v>
      </c>
      <c r="E21" s="52">
        <v>17</v>
      </c>
      <c r="F21" s="52">
        <v>21</v>
      </c>
      <c r="G21" s="58">
        <v>15</v>
      </c>
      <c r="H21" s="52"/>
      <c r="I21" s="52"/>
      <c r="J21" s="52">
        <v>18</v>
      </c>
      <c r="K21" s="52">
        <v>23</v>
      </c>
      <c r="L21" s="52">
        <v>17</v>
      </c>
      <c r="M21" s="52">
        <v>15</v>
      </c>
      <c r="N21" s="52">
        <f>SUM(B21:M21)</f>
        <v>183</v>
      </c>
    </row>
    <row r="22" spans="1:14" ht="16.2" x14ac:dyDescent="0.25">
      <c r="A22" s="50" t="s">
        <v>12</v>
      </c>
      <c r="B22" s="52">
        <v>1</v>
      </c>
      <c r="C22" s="52">
        <v>3</v>
      </c>
      <c r="D22" s="52">
        <v>1</v>
      </c>
      <c r="E22" s="52">
        <v>2</v>
      </c>
      <c r="F22" s="52">
        <v>1</v>
      </c>
      <c r="G22" s="58">
        <v>8</v>
      </c>
      <c r="H22" s="65">
        <v>1</v>
      </c>
      <c r="I22" s="52">
        <v>5</v>
      </c>
      <c r="J22" s="52">
        <v>7</v>
      </c>
      <c r="K22" s="52">
        <v>6</v>
      </c>
      <c r="L22" s="52">
        <v>1</v>
      </c>
      <c r="M22" s="52"/>
      <c r="N22" s="52">
        <f t="shared" si="1"/>
        <v>36</v>
      </c>
    </row>
    <row r="23" spans="1:14" ht="16.2" x14ac:dyDescent="0.25">
      <c r="A23" s="50" t="s">
        <v>145</v>
      </c>
      <c r="B23" s="52"/>
      <c r="C23" s="52"/>
      <c r="D23" s="52"/>
      <c r="E23" s="52"/>
      <c r="F23" s="52">
        <v>384</v>
      </c>
      <c r="G23" s="58">
        <v>1012</v>
      </c>
      <c r="H23" s="52">
        <v>1139</v>
      </c>
      <c r="I23" s="52">
        <v>1195</v>
      </c>
      <c r="J23" s="52">
        <v>891</v>
      </c>
      <c r="K23" s="52"/>
      <c r="L23" s="52"/>
      <c r="M23" s="52"/>
      <c r="N23" s="52">
        <f>SUM(B23:M23)</f>
        <v>4621</v>
      </c>
    </row>
    <row r="24" spans="1:14" ht="16.2" x14ac:dyDescent="0.25">
      <c r="A24" s="50" t="s">
        <v>146</v>
      </c>
      <c r="B24" s="52">
        <v>721</v>
      </c>
      <c r="C24" s="52">
        <v>479</v>
      </c>
      <c r="D24" s="52">
        <v>308</v>
      </c>
      <c r="E24" s="52">
        <v>879</v>
      </c>
      <c r="F24" s="52">
        <v>679</v>
      </c>
      <c r="G24" s="58"/>
      <c r="H24" s="52"/>
      <c r="I24" s="52"/>
      <c r="J24" s="52"/>
      <c r="K24" s="52">
        <v>818</v>
      </c>
      <c r="L24" s="52">
        <v>738</v>
      </c>
      <c r="M24" s="52">
        <v>721</v>
      </c>
      <c r="N24" s="52">
        <f>SUM(B24:M24)</f>
        <v>5343</v>
      </c>
    </row>
    <row r="25" spans="1:14" ht="16.2" x14ac:dyDescent="0.25">
      <c r="A25" s="50" t="s">
        <v>184</v>
      </c>
      <c r="B25" s="52"/>
      <c r="C25" s="52"/>
      <c r="D25" s="52"/>
      <c r="E25" s="52"/>
      <c r="F25" s="52">
        <v>707</v>
      </c>
      <c r="G25" s="58">
        <v>1892</v>
      </c>
      <c r="H25" s="52">
        <v>3142</v>
      </c>
      <c r="I25" s="52">
        <v>3212</v>
      </c>
      <c r="J25" s="52">
        <v>1442</v>
      </c>
      <c r="K25" s="52"/>
      <c r="L25" s="52"/>
      <c r="M25" s="52"/>
      <c r="N25" s="52">
        <f>SUM(B25:M25)</f>
        <v>10395</v>
      </c>
    </row>
    <row r="26" spans="1:14" ht="16.2" x14ac:dyDescent="0.25">
      <c r="A26" s="50" t="s">
        <v>183</v>
      </c>
      <c r="B26" s="52">
        <v>765</v>
      </c>
      <c r="C26" s="52">
        <v>716</v>
      </c>
      <c r="D26" s="52">
        <v>1202</v>
      </c>
      <c r="E26" s="52">
        <v>1363</v>
      </c>
      <c r="F26" s="52">
        <v>903</v>
      </c>
      <c r="G26" s="58"/>
      <c r="H26" s="52"/>
      <c r="I26" s="52"/>
      <c r="J26" s="52"/>
      <c r="K26" s="52">
        <v>967</v>
      </c>
      <c r="L26" s="52">
        <v>1021</v>
      </c>
      <c r="M26" s="52">
        <v>1001</v>
      </c>
      <c r="N26" s="52">
        <f>SUM(B26:M26)</f>
        <v>7938</v>
      </c>
    </row>
    <row r="27" spans="1:14" ht="16.2" x14ac:dyDescent="0.25">
      <c r="A27" s="50" t="s">
        <v>140</v>
      </c>
      <c r="B27" s="52"/>
      <c r="C27" s="52"/>
      <c r="D27" s="52"/>
      <c r="E27" s="52"/>
      <c r="F27" s="52">
        <v>1</v>
      </c>
      <c r="G27" s="58">
        <v>5</v>
      </c>
      <c r="H27" s="52">
        <v>7</v>
      </c>
      <c r="I27" s="52">
        <v>6</v>
      </c>
      <c r="J27" s="52">
        <v>3</v>
      </c>
      <c r="K27" s="52"/>
      <c r="L27" s="52"/>
      <c r="M27" s="52"/>
      <c r="N27" s="52">
        <f t="shared" si="1"/>
        <v>22</v>
      </c>
    </row>
    <row r="28" spans="1:14" ht="16.2" x14ac:dyDescent="0.25">
      <c r="A28" s="50" t="s">
        <v>141</v>
      </c>
      <c r="B28" s="52">
        <v>2</v>
      </c>
      <c r="C28" s="52"/>
      <c r="D28" s="52">
        <v>1</v>
      </c>
      <c r="E28" s="52">
        <v>1</v>
      </c>
      <c r="F28" s="52">
        <v>2</v>
      </c>
      <c r="G28" s="58"/>
      <c r="H28" s="52"/>
      <c r="I28" s="52"/>
      <c r="J28" s="52"/>
      <c r="K28" s="52">
        <v>1</v>
      </c>
      <c r="L28" s="52"/>
      <c r="M28" s="52"/>
      <c r="N28" s="52">
        <f t="shared" si="1"/>
        <v>7</v>
      </c>
    </row>
    <row r="29" spans="1:14" ht="16.2" x14ac:dyDescent="0.25">
      <c r="A29" s="50" t="s">
        <v>91</v>
      </c>
      <c r="B29" s="52"/>
      <c r="C29" s="52"/>
      <c r="D29" s="52"/>
      <c r="E29" s="52"/>
      <c r="F29" s="52"/>
      <c r="G29" s="58"/>
      <c r="H29" s="52"/>
      <c r="I29" s="52"/>
      <c r="J29" s="52"/>
      <c r="K29" s="52"/>
      <c r="L29" s="52"/>
      <c r="M29" s="52"/>
      <c r="N29" s="52">
        <f>SUM(B29:M29)</f>
        <v>0</v>
      </c>
    </row>
    <row r="30" spans="1:14" ht="16.2" x14ac:dyDescent="0.25">
      <c r="A30" s="50" t="s">
        <v>200</v>
      </c>
      <c r="B30" s="52">
        <v>1775</v>
      </c>
      <c r="C30" s="52">
        <v>1950</v>
      </c>
      <c r="D30" s="52">
        <v>2400</v>
      </c>
      <c r="E30" s="52">
        <v>2250</v>
      </c>
      <c r="F30" s="52">
        <v>2250</v>
      </c>
      <c r="G30" s="58">
        <v>3075</v>
      </c>
      <c r="H30" s="52">
        <v>2925</v>
      </c>
      <c r="I30" s="52">
        <v>2750</v>
      </c>
      <c r="J30" s="52">
        <v>2550</v>
      </c>
      <c r="K30" s="52">
        <v>2625</v>
      </c>
      <c r="L30" s="52">
        <v>1625</v>
      </c>
      <c r="M30" s="52">
        <v>2100</v>
      </c>
      <c r="N30" s="52">
        <f>SUM(B30:M30)</f>
        <v>28275</v>
      </c>
    </row>
    <row r="31" spans="1:14" ht="16.2" x14ac:dyDescent="0.25">
      <c r="A31" s="50" t="s">
        <v>116</v>
      </c>
      <c r="B31" s="52"/>
      <c r="C31" s="52"/>
      <c r="D31" s="52"/>
      <c r="E31" s="52"/>
      <c r="F31" s="52"/>
      <c r="G31" s="58"/>
      <c r="H31" s="52"/>
      <c r="I31" s="52"/>
      <c r="J31" s="52"/>
      <c r="K31" s="52"/>
      <c r="L31" s="52"/>
      <c r="M31" s="52"/>
      <c r="N31" s="52">
        <f>SUM(B31:M31)</f>
        <v>0</v>
      </c>
    </row>
    <row r="32" spans="1:14" ht="16.2" x14ac:dyDescent="0.25">
      <c r="A32" s="50" t="s">
        <v>142</v>
      </c>
      <c r="B32" s="52"/>
      <c r="C32" s="52"/>
      <c r="D32" s="52"/>
      <c r="E32" s="52"/>
      <c r="F32" s="52"/>
      <c r="G32" s="58"/>
      <c r="H32" s="52"/>
      <c r="I32" s="52"/>
      <c r="J32" s="52"/>
      <c r="K32" s="52"/>
      <c r="L32" s="52"/>
      <c r="M32" s="52"/>
      <c r="N32" s="52">
        <f>SUM(B32:M32)</f>
        <v>0</v>
      </c>
    </row>
    <row r="33" spans="1:14" ht="16.2" x14ac:dyDescent="0.25">
      <c r="A33" s="50" t="s">
        <v>118</v>
      </c>
      <c r="B33" s="52"/>
      <c r="C33" s="52"/>
      <c r="D33" s="52"/>
      <c r="E33" s="52"/>
      <c r="F33" s="52">
        <v>127</v>
      </c>
      <c r="G33" s="58">
        <v>308</v>
      </c>
      <c r="H33" s="52">
        <v>342</v>
      </c>
      <c r="I33" s="52">
        <v>358</v>
      </c>
      <c r="J33" s="52">
        <v>335</v>
      </c>
      <c r="K33" s="52"/>
      <c r="L33" s="52"/>
      <c r="M33" s="52"/>
      <c r="N33" s="52">
        <f t="shared" si="1"/>
        <v>1470</v>
      </c>
    </row>
    <row r="34" spans="1:14" ht="16.2" x14ac:dyDescent="0.25">
      <c r="A34" s="50" t="s">
        <v>147</v>
      </c>
      <c r="B34" s="52">
        <v>196</v>
      </c>
      <c r="C34" s="52">
        <v>142</v>
      </c>
      <c r="D34" s="52">
        <v>80</v>
      </c>
      <c r="E34" s="52">
        <v>249</v>
      </c>
      <c r="F34" s="52">
        <v>182</v>
      </c>
      <c r="G34" s="58"/>
      <c r="H34" s="52"/>
      <c r="I34" s="52"/>
      <c r="J34" s="52"/>
      <c r="K34" s="52">
        <v>389</v>
      </c>
      <c r="L34" s="52">
        <v>277</v>
      </c>
      <c r="M34" s="52">
        <v>223</v>
      </c>
      <c r="N34" s="52">
        <f t="shared" si="1"/>
        <v>1738</v>
      </c>
    </row>
    <row r="35" spans="1:14" ht="16.2" x14ac:dyDescent="0.25">
      <c r="A35" s="50" t="s">
        <v>119</v>
      </c>
      <c r="B35" s="52"/>
      <c r="C35" s="52"/>
      <c r="D35" s="52"/>
      <c r="E35" s="52"/>
      <c r="F35" s="52">
        <v>47</v>
      </c>
      <c r="G35" s="58">
        <v>122</v>
      </c>
      <c r="H35" s="52">
        <v>117</v>
      </c>
      <c r="I35" s="52">
        <v>99</v>
      </c>
      <c r="J35" s="52">
        <v>99</v>
      </c>
      <c r="K35" s="52"/>
      <c r="L35" s="52"/>
      <c r="M35" s="52"/>
      <c r="N35" s="52">
        <f t="shared" si="1"/>
        <v>484</v>
      </c>
    </row>
    <row r="36" spans="1:14" ht="16.2" x14ac:dyDescent="0.25">
      <c r="A36" s="50" t="s">
        <v>148</v>
      </c>
      <c r="B36" s="52">
        <v>77</v>
      </c>
      <c r="C36" s="52">
        <v>54</v>
      </c>
      <c r="D36" s="52">
        <v>28</v>
      </c>
      <c r="E36" s="52">
        <v>94</v>
      </c>
      <c r="F36" s="52">
        <v>91</v>
      </c>
      <c r="G36" s="58"/>
      <c r="H36" s="52"/>
      <c r="I36" s="52"/>
      <c r="J36" s="52"/>
      <c r="K36" s="52">
        <v>146</v>
      </c>
      <c r="L36" s="52">
        <v>74</v>
      </c>
      <c r="M36" s="52">
        <v>42</v>
      </c>
      <c r="N36" s="52">
        <f t="shared" si="1"/>
        <v>606</v>
      </c>
    </row>
    <row r="37" spans="1:14" ht="16.2" x14ac:dyDescent="0.25">
      <c r="A37" s="50" t="s">
        <v>120</v>
      </c>
      <c r="B37" s="52"/>
      <c r="C37" s="52"/>
      <c r="D37" s="52"/>
      <c r="E37" s="52"/>
      <c r="F37" s="52">
        <v>31</v>
      </c>
      <c r="G37" s="58">
        <v>98</v>
      </c>
      <c r="H37" s="52">
        <v>80</v>
      </c>
      <c r="I37" s="52">
        <v>110</v>
      </c>
      <c r="J37" s="52">
        <v>84</v>
      </c>
      <c r="K37" s="52"/>
      <c r="L37" s="52"/>
      <c r="M37" s="52"/>
      <c r="N37" s="52">
        <f t="shared" si="1"/>
        <v>403</v>
      </c>
    </row>
    <row r="38" spans="1:14" ht="16.2" x14ac:dyDescent="0.25">
      <c r="A38" s="50" t="s">
        <v>149</v>
      </c>
      <c r="B38" s="52">
        <v>51</v>
      </c>
      <c r="C38" s="52">
        <v>33</v>
      </c>
      <c r="D38" s="52">
        <v>18</v>
      </c>
      <c r="E38" s="52">
        <v>82</v>
      </c>
      <c r="F38" s="52">
        <v>43</v>
      </c>
      <c r="G38" s="58"/>
      <c r="H38" s="52"/>
      <c r="I38" s="52"/>
      <c r="J38" s="52"/>
      <c r="K38" s="52">
        <v>67</v>
      </c>
      <c r="L38" s="52">
        <v>59</v>
      </c>
      <c r="M38" s="52">
        <v>43</v>
      </c>
      <c r="N38" s="52">
        <f t="shared" si="1"/>
        <v>396</v>
      </c>
    </row>
    <row r="39" spans="1:14" ht="16.2" x14ac:dyDescent="0.25">
      <c r="A39" s="50" t="s">
        <v>121</v>
      </c>
      <c r="B39" s="52"/>
      <c r="C39" s="52"/>
      <c r="D39" s="52"/>
      <c r="E39" s="52"/>
      <c r="F39" s="52">
        <v>30</v>
      </c>
      <c r="G39" s="58">
        <v>88</v>
      </c>
      <c r="H39" s="52">
        <v>90</v>
      </c>
      <c r="I39" s="52">
        <v>83</v>
      </c>
      <c r="J39" s="52">
        <v>78</v>
      </c>
      <c r="K39" s="52"/>
      <c r="L39" s="52"/>
      <c r="M39" s="52"/>
      <c r="N39" s="52">
        <f t="shared" si="1"/>
        <v>369</v>
      </c>
    </row>
    <row r="40" spans="1:14" ht="16.2" x14ac:dyDescent="0.25">
      <c r="A40" s="50" t="s">
        <v>150</v>
      </c>
      <c r="B40" s="52">
        <v>52</v>
      </c>
      <c r="C40" s="52">
        <v>32</v>
      </c>
      <c r="D40" s="52">
        <v>15</v>
      </c>
      <c r="E40" s="52">
        <v>56</v>
      </c>
      <c r="F40" s="52">
        <v>41</v>
      </c>
      <c r="G40" s="58"/>
      <c r="H40" s="52"/>
      <c r="I40" s="52"/>
      <c r="J40" s="52"/>
      <c r="K40" s="52">
        <v>85</v>
      </c>
      <c r="L40" s="52">
        <v>44</v>
      </c>
      <c r="M40" s="52">
        <v>45</v>
      </c>
      <c r="N40" s="52">
        <f t="shared" si="1"/>
        <v>370</v>
      </c>
    </row>
    <row r="41" spans="1:14" ht="16.2" x14ac:dyDescent="0.25">
      <c r="A41" s="50" t="s">
        <v>122</v>
      </c>
      <c r="B41" s="52"/>
      <c r="C41" s="52"/>
      <c r="D41" s="52"/>
      <c r="E41" s="52"/>
      <c r="F41" s="52">
        <v>14</v>
      </c>
      <c r="G41" s="58">
        <v>25</v>
      </c>
      <c r="H41" s="52">
        <v>38</v>
      </c>
      <c r="I41" s="52">
        <v>28</v>
      </c>
      <c r="J41" s="52">
        <v>28</v>
      </c>
      <c r="K41" s="52"/>
      <c r="L41" s="52"/>
      <c r="M41" s="52"/>
      <c r="N41" s="52">
        <f t="shared" si="1"/>
        <v>133</v>
      </c>
    </row>
    <row r="42" spans="1:14" ht="16.2" x14ac:dyDescent="0.25">
      <c r="A42" s="50" t="s">
        <v>151</v>
      </c>
      <c r="B42" s="52">
        <v>15</v>
      </c>
      <c r="C42" s="52">
        <v>4</v>
      </c>
      <c r="D42" s="52">
        <v>12</v>
      </c>
      <c r="E42" s="52">
        <v>18</v>
      </c>
      <c r="F42" s="52">
        <v>11</v>
      </c>
      <c r="G42" s="58"/>
      <c r="H42" s="52"/>
      <c r="I42" s="52"/>
      <c r="J42" s="52"/>
      <c r="K42" s="52">
        <v>26</v>
      </c>
      <c r="L42" s="52">
        <v>21</v>
      </c>
      <c r="M42" s="52">
        <v>9</v>
      </c>
      <c r="N42" s="52">
        <f t="shared" si="1"/>
        <v>116</v>
      </c>
    </row>
    <row r="43" spans="1:14" ht="16.2" x14ac:dyDescent="0.25">
      <c r="A43" s="50" t="s">
        <v>123</v>
      </c>
      <c r="B43" s="52"/>
      <c r="C43" s="52"/>
      <c r="D43" s="52"/>
      <c r="E43" s="52"/>
      <c r="F43" s="52">
        <v>6</v>
      </c>
      <c r="G43" s="58">
        <v>15</v>
      </c>
      <c r="H43" s="52">
        <v>27</v>
      </c>
      <c r="I43" s="52">
        <v>14</v>
      </c>
      <c r="J43" s="52">
        <v>15</v>
      </c>
      <c r="K43" s="52"/>
      <c r="L43" s="52"/>
      <c r="M43" s="52"/>
      <c r="N43" s="52">
        <f t="shared" si="1"/>
        <v>77</v>
      </c>
    </row>
    <row r="44" spans="1:14" ht="16.2" x14ac:dyDescent="0.25">
      <c r="A44" s="50" t="s">
        <v>152</v>
      </c>
      <c r="B44" s="52">
        <v>7</v>
      </c>
      <c r="C44" s="52">
        <v>8</v>
      </c>
      <c r="D44" s="52">
        <v>4</v>
      </c>
      <c r="E44" s="52">
        <v>18</v>
      </c>
      <c r="F44" s="52">
        <v>9</v>
      </c>
      <c r="G44" s="58"/>
      <c r="H44" s="52"/>
      <c r="I44" s="52"/>
      <c r="J44" s="52"/>
      <c r="K44" s="52">
        <v>21</v>
      </c>
      <c r="L44" s="52">
        <v>10</v>
      </c>
      <c r="M44" s="52">
        <v>7</v>
      </c>
      <c r="N44" s="52">
        <f t="shared" si="1"/>
        <v>84</v>
      </c>
    </row>
    <row r="45" spans="1:14" ht="16.2" x14ac:dyDescent="0.25">
      <c r="A45" s="50" t="s">
        <v>124</v>
      </c>
      <c r="B45" s="52"/>
      <c r="C45" s="52"/>
      <c r="D45" s="52"/>
      <c r="E45" s="52"/>
      <c r="F45" s="52">
        <v>2</v>
      </c>
      <c r="G45" s="58">
        <v>6</v>
      </c>
      <c r="H45" s="52">
        <v>11</v>
      </c>
      <c r="I45" s="52">
        <v>4</v>
      </c>
      <c r="J45" s="52">
        <v>1</v>
      </c>
      <c r="K45" s="52"/>
      <c r="L45" s="52"/>
      <c r="M45" s="52"/>
      <c r="N45" s="52">
        <f t="shared" si="1"/>
        <v>24</v>
      </c>
    </row>
    <row r="46" spans="1:14" ht="16.2" x14ac:dyDescent="0.25">
      <c r="A46" s="50" t="s">
        <v>153</v>
      </c>
      <c r="B46" s="52">
        <v>2</v>
      </c>
      <c r="C46" s="52">
        <v>1</v>
      </c>
      <c r="D46" s="52">
        <v>2</v>
      </c>
      <c r="E46" s="52">
        <v>2</v>
      </c>
      <c r="F46" s="52">
        <v>3</v>
      </c>
      <c r="G46" s="58"/>
      <c r="H46" s="52"/>
      <c r="I46" s="52"/>
      <c r="J46" s="52"/>
      <c r="K46" s="52">
        <v>2</v>
      </c>
      <c r="L46" s="52">
        <v>5</v>
      </c>
      <c r="M46" s="52">
        <v>6</v>
      </c>
      <c r="N46" s="52">
        <f t="shared" si="1"/>
        <v>23</v>
      </c>
    </row>
    <row r="47" spans="1:14" ht="16.2" x14ac:dyDescent="0.25">
      <c r="A47" s="50" t="s">
        <v>125</v>
      </c>
      <c r="B47" s="52"/>
      <c r="C47" s="52"/>
      <c r="D47" s="52"/>
      <c r="E47" s="52"/>
      <c r="F47" s="52">
        <v>3</v>
      </c>
      <c r="G47" s="58">
        <v>4</v>
      </c>
      <c r="H47" s="52">
        <v>4</v>
      </c>
      <c r="I47" s="52">
        <v>2</v>
      </c>
      <c r="J47" s="52">
        <v>3</v>
      </c>
      <c r="K47" s="52"/>
      <c r="L47" s="52"/>
      <c r="M47" s="52"/>
      <c r="N47" s="52">
        <f t="shared" si="1"/>
        <v>16</v>
      </c>
    </row>
    <row r="48" spans="1:14" ht="16.2" x14ac:dyDescent="0.25">
      <c r="A48" s="50" t="s">
        <v>154</v>
      </c>
      <c r="B48" s="52"/>
      <c r="C48" s="52">
        <v>1</v>
      </c>
      <c r="D48" s="52"/>
      <c r="E48" s="52">
        <v>1</v>
      </c>
      <c r="F48" s="52">
        <v>2</v>
      </c>
      <c r="G48" s="58"/>
      <c r="H48" s="52"/>
      <c r="I48" s="52"/>
      <c r="J48" s="52"/>
      <c r="K48" s="52">
        <v>2</v>
      </c>
      <c r="L48" s="52">
        <v>2</v>
      </c>
      <c r="M48" s="52">
        <v>0</v>
      </c>
      <c r="N48" s="52">
        <f t="shared" si="1"/>
        <v>8</v>
      </c>
    </row>
    <row r="49" spans="1:14" ht="16.2" x14ac:dyDescent="0.25">
      <c r="A49" s="50" t="s">
        <v>126</v>
      </c>
      <c r="B49" s="52"/>
      <c r="C49" s="52"/>
      <c r="D49" s="52"/>
      <c r="E49" s="52"/>
      <c r="F49" s="52">
        <v>3</v>
      </c>
      <c r="G49" s="58">
        <v>9</v>
      </c>
      <c r="H49" s="52">
        <v>3</v>
      </c>
      <c r="I49" s="52">
        <v>8</v>
      </c>
      <c r="J49" s="52">
        <v>6</v>
      </c>
      <c r="K49" s="52"/>
      <c r="L49" s="52"/>
      <c r="M49" s="52"/>
      <c r="N49" s="52">
        <f t="shared" si="1"/>
        <v>29</v>
      </c>
    </row>
    <row r="50" spans="1:14" ht="16.2" x14ac:dyDescent="0.25">
      <c r="A50" s="57" t="s">
        <v>155</v>
      </c>
      <c r="B50" s="55">
        <v>2</v>
      </c>
      <c r="C50" s="52">
        <v>6</v>
      </c>
      <c r="D50" s="52">
        <v>1</v>
      </c>
      <c r="E50" s="52">
        <v>2</v>
      </c>
      <c r="F50" s="52">
        <v>2</v>
      </c>
      <c r="G50" s="58"/>
      <c r="H50" s="52"/>
      <c r="I50" s="52"/>
      <c r="J50" s="52"/>
      <c r="K50" s="52">
        <v>7</v>
      </c>
      <c r="L50" s="52">
        <v>2</v>
      </c>
      <c r="M50" s="52">
        <v>1</v>
      </c>
      <c r="N50" s="52">
        <f t="shared" si="1"/>
        <v>23</v>
      </c>
    </row>
    <row r="51" spans="1:14" ht="16.2" x14ac:dyDescent="0.25">
      <c r="A51" s="56" t="s">
        <v>77</v>
      </c>
      <c r="B51" s="58">
        <v>19</v>
      </c>
      <c r="C51" s="52">
        <v>18</v>
      </c>
      <c r="D51" s="52">
        <v>20</v>
      </c>
      <c r="E51" s="52">
        <v>17</v>
      </c>
      <c r="F51" s="52">
        <v>21</v>
      </c>
      <c r="G51" s="52">
        <v>15</v>
      </c>
      <c r="H51" s="52"/>
      <c r="I51" s="52"/>
      <c r="J51" s="52">
        <v>18</v>
      </c>
      <c r="K51" s="52">
        <v>23</v>
      </c>
      <c r="L51" s="52">
        <v>17</v>
      </c>
      <c r="M51" s="52">
        <v>15</v>
      </c>
      <c r="N51" s="58">
        <f t="shared" si="1"/>
        <v>183</v>
      </c>
    </row>
    <row r="52" spans="1:14" ht="16.2" x14ac:dyDescent="0.25">
      <c r="A52" s="59" t="s">
        <v>26</v>
      </c>
      <c r="B52" s="58">
        <v>711</v>
      </c>
      <c r="C52" s="52">
        <v>637</v>
      </c>
      <c r="D52" s="52">
        <v>708</v>
      </c>
      <c r="E52" s="52">
        <v>696</v>
      </c>
      <c r="F52" s="52">
        <v>737</v>
      </c>
      <c r="G52" s="52">
        <v>726</v>
      </c>
      <c r="H52" s="52">
        <v>754</v>
      </c>
      <c r="I52" s="52">
        <v>757</v>
      </c>
      <c r="J52" s="52">
        <v>728</v>
      </c>
      <c r="K52" s="52">
        <v>719</v>
      </c>
      <c r="L52" s="52">
        <v>690</v>
      </c>
      <c r="M52" s="52">
        <v>681</v>
      </c>
      <c r="N52" s="58">
        <f t="shared" si="1"/>
        <v>8544</v>
      </c>
    </row>
    <row r="53" spans="1:14" ht="16.2" x14ac:dyDescent="0.25">
      <c r="A53" s="56" t="s">
        <v>158</v>
      </c>
      <c r="B53">
        <f t="shared" ref="B53:N53" si="2">SUM(B4:B52)</f>
        <v>13519</v>
      </c>
      <c r="C53">
        <f t="shared" si="2"/>
        <v>11109</v>
      </c>
      <c r="D53">
        <f t="shared" si="2"/>
        <v>12976</v>
      </c>
      <c r="E53">
        <f t="shared" si="2"/>
        <v>16659</v>
      </c>
      <c r="F53">
        <f t="shared" si="2"/>
        <v>20208</v>
      </c>
      <c r="G53">
        <f t="shared" si="2"/>
        <v>20660</v>
      </c>
      <c r="H53">
        <f>SUM(H4:H52)</f>
        <v>24271</v>
      </c>
      <c r="I53">
        <f t="shared" si="2"/>
        <v>23814</v>
      </c>
      <c r="J53">
        <f t="shared" si="2"/>
        <v>17409</v>
      </c>
      <c r="K53">
        <f t="shared" si="2"/>
        <v>17167</v>
      </c>
      <c r="L53">
        <f t="shared" si="2"/>
        <v>14557</v>
      </c>
      <c r="M53">
        <f t="shared" si="2"/>
        <v>14304</v>
      </c>
      <c r="N53">
        <f t="shared" si="2"/>
        <v>206653</v>
      </c>
    </row>
    <row r="55" spans="1:14" ht="16.2" x14ac:dyDescent="0.25">
      <c r="A55" s="39" t="s">
        <v>86</v>
      </c>
      <c r="B55" s="40">
        <f t="shared" ref="B55:D55" si="3">+B4+B8+B5+B6</f>
        <v>3580</v>
      </c>
      <c r="C55" s="40">
        <f t="shared" si="3"/>
        <v>1840</v>
      </c>
      <c r="D55" s="40">
        <f t="shared" si="3"/>
        <v>2040</v>
      </c>
      <c r="E55" s="40">
        <f>+E4+E8+E5+E6</f>
        <v>4090</v>
      </c>
      <c r="F55" s="40">
        <f t="shared" ref="F55:N55" si="4">+F4+F8+F5+F6</f>
        <v>4790</v>
      </c>
      <c r="G55" s="40">
        <f t="shared" si="4"/>
        <v>4290</v>
      </c>
      <c r="H55" s="40">
        <f t="shared" si="4"/>
        <v>4190</v>
      </c>
      <c r="I55" s="40">
        <f t="shared" si="4"/>
        <v>4070</v>
      </c>
      <c r="J55" s="40">
        <f t="shared" si="4"/>
        <v>3290</v>
      </c>
      <c r="K55" s="40">
        <f t="shared" si="4"/>
        <v>4320</v>
      </c>
      <c r="L55" s="40">
        <f t="shared" si="4"/>
        <v>3390</v>
      </c>
      <c r="M55" s="40">
        <f t="shared" si="4"/>
        <v>3660</v>
      </c>
      <c r="N55" s="40">
        <f t="shared" si="4"/>
        <v>43550</v>
      </c>
    </row>
    <row r="56" spans="1:14" ht="16.2" x14ac:dyDescent="0.25">
      <c r="A56" s="39" t="s">
        <v>157</v>
      </c>
      <c r="B56" s="40">
        <f>+B12+B30</f>
        <v>3600</v>
      </c>
      <c r="C56" s="40">
        <f t="shared" ref="C56:M56" si="5">+C12+C30</f>
        <v>4300</v>
      </c>
      <c r="D56" s="40">
        <f t="shared" si="5"/>
        <v>5050</v>
      </c>
      <c r="E56" s="40">
        <f t="shared" si="5"/>
        <v>4175</v>
      </c>
      <c r="F56" s="40">
        <f t="shared" si="5"/>
        <v>5450</v>
      </c>
      <c r="G56" s="40">
        <f t="shared" si="5"/>
        <v>5825</v>
      </c>
      <c r="H56" s="40">
        <f t="shared" si="5"/>
        <v>5900</v>
      </c>
      <c r="I56" s="40">
        <f t="shared" si="5"/>
        <v>5300</v>
      </c>
      <c r="J56" s="40">
        <f t="shared" si="5"/>
        <v>4975</v>
      </c>
      <c r="K56" s="40">
        <f t="shared" si="5"/>
        <v>5375</v>
      </c>
      <c r="L56" s="40">
        <f t="shared" si="5"/>
        <v>3750</v>
      </c>
      <c r="M56" s="40">
        <f t="shared" si="5"/>
        <v>3800</v>
      </c>
      <c r="N56" s="40">
        <f>+N12+N30</f>
        <v>57500</v>
      </c>
    </row>
    <row r="57" spans="1:14" ht="16.2" x14ac:dyDescent="0.25">
      <c r="A57" s="33" t="s">
        <v>50</v>
      </c>
      <c r="B57" s="40">
        <f>+B4+B7+B8+B9+B15+B16+B19+B20+B23+B24+B27+B28+B33+B34+B35+B36+B37+B38+B39+B40+B41+B42+B43+B44+B45+B46+B47+B48+B49+B50</f>
        <v>4858</v>
      </c>
      <c r="C57" s="40">
        <f t="shared" ref="C57:H57" si="6">+C4+C7+C8+C9+C15+C16+C19+C20+C23+C24+C27+C28+C33+C34+C35+C36+C37+C38+C39+C40+C41+C42+C43+C44+C45+C46+C47+C48+C49+C50</f>
        <v>3155</v>
      </c>
      <c r="D57" s="40">
        <f t="shared" si="6"/>
        <v>2472</v>
      </c>
      <c r="E57" s="40">
        <f t="shared" si="6"/>
        <v>6456</v>
      </c>
      <c r="F57" s="40">
        <f t="shared" si="6"/>
        <v>7101</v>
      </c>
      <c r="G57" s="40">
        <f t="shared" si="6"/>
        <v>6923</v>
      </c>
      <c r="H57" s="40">
        <f t="shared" si="6"/>
        <v>7696</v>
      </c>
      <c r="I57" s="40">
        <f>+I4+I7+I8+I9+I15+I16+I19+I20+I23+I24+I27+I28+I33+I34+I35+I36+I37+I38+I39+I40+I41+I42+I43+I44+I45+I46+I47+I48+I49+I50+I17</f>
        <v>8048</v>
      </c>
      <c r="J57" s="40">
        <f t="shared" ref="J57:N57" si="7">+J4+J7+J8+J9+J15+J16+J19+J20+J23+J24+J27+J28+J33+J34+J35+J36+J37+J38+J39+J40+J41+J42+J43+J44+J45+J46+J47+J48+J49+J50+J17</f>
        <v>5874</v>
      </c>
      <c r="K57" s="40">
        <f t="shared" si="7"/>
        <v>6296</v>
      </c>
      <c r="L57" s="40">
        <f t="shared" si="7"/>
        <v>5500</v>
      </c>
      <c r="M57" s="40">
        <f t="shared" si="7"/>
        <v>5361</v>
      </c>
      <c r="N57" s="40">
        <f t="shared" si="7"/>
        <v>69742</v>
      </c>
    </row>
    <row r="58" spans="1:14" ht="16.2" x14ac:dyDescent="0.25">
      <c r="A58" s="33" t="s">
        <v>28</v>
      </c>
      <c r="B58" s="40">
        <f>SUM(B4:B50)-B22-B29-B21</f>
        <v>12769</v>
      </c>
      <c r="C58" s="40">
        <f t="shared" ref="C58:M58" si="8">SUM(C4:C50)-C22-C29-C21</f>
        <v>10433</v>
      </c>
      <c r="D58" s="40">
        <f t="shared" si="8"/>
        <v>12227</v>
      </c>
      <c r="E58" s="40">
        <f t="shared" si="8"/>
        <v>15927</v>
      </c>
      <c r="F58" s="40">
        <f t="shared" si="8"/>
        <v>19428</v>
      </c>
      <c r="G58" s="40">
        <f t="shared" si="8"/>
        <v>19896</v>
      </c>
      <c r="H58" s="40">
        <f t="shared" si="8"/>
        <v>23516</v>
      </c>
      <c r="I58" s="40">
        <f t="shared" si="8"/>
        <v>23052</v>
      </c>
      <c r="J58" s="40">
        <f t="shared" si="8"/>
        <v>16638</v>
      </c>
      <c r="K58" s="40">
        <f t="shared" si="8"/>
        <v>16396</v>
      </c>
      <c r="L58" s="40">
        <f t="shared" si="8"/>
        <v>13832</v>
      </c>
      <c r="M58" s="40">
        <f t="shared" si="8"/>
        <v>13593</v>
      </c>
      <c r="N58" s="40">
        <f>SUM(N4:N50)-N22-N29-N21</f>
        <v>197707</v>
      </c>
    </row>
    <row r="59" spans="1:14" ht="16.2" x14ac:dyDescent="0.25">
      <c r="A59" s="33" t="s">
        <v>46</v>
      </c>
      <c r="B59" s="40">
        <f>SUM(B4:B50)-B22-B29-B51-B52-B21</f>
        <v>12039</v>
      </c>
      <c r="C59" s="40">
        <f t="shared" ref="C59:M59" si="9">SUM(C4:C50)-C22-C29-C51-C52-C21</f>
        <v>9778</v>
      </c>
      <c r="D59" s="40">
        <f t="shared" si="9"/>
        <v>11499</v>
      </c>
      <c r="E59" s="40">
        <f t="shared" si="9"/>
        <v>15214</v>
      </c>
      <c r="F59" s="40">
        <f t="shared" si="9"/>
        <v>18670</v>
      </c>
      <c r="G59" s="40">
        <f t="shared" si="9"/>
        <v>19155</v>
      </c>
      <c r="H59" s="40">
        <f t="shared" si="9"/>
        <v>22762</v>
      </c>
      <c r="I59" s="40">
        <f t="shared" si="9"/>
        <v>22295</v>
      </c>
      <c r="J59" s="40">
        <f t="shared" si="9"/>
        <v>15892</v>
      </c>
      <c r="K59" s="40">
        <f t="shared" si="9"/>
        <v>15654</v>
      </c>
      <c r="L59" s="40">
        <f t="shared" si="9"/>
        <v>13125</v>
      </c>
      <c r="M59" s="40">
        <f t="shared" si="9"/>
        <v>12897</v>
      </c>
      <c r="N59" s="40">
        <f>SUM(N4:N50)-N22-N29-N51-N52-N21</f>
        <v>188980</v>
      </c>
    </row>
    <row r="60" spans="1:14" ht="16.2" x14ac:dyDescent="0.25">
      <c r="A60" s="33" t="s">
        <v>52</v>
      </c>
      <c r="B60" s="40">
        <f>+B10+B11+B12+B13+B14+B25+B26+B31+B32</f>
        <v>4376</v>
      </c>
      <c r="C60" s="40">
        <f t="shared" ref="C60:M60" si="10">+C10+C11+C12+C13+C14+C25+C26+C31+C32</f>
        <v>4498</v>
      </c>
      <c r="D60" s="40">
        <f t="shared" si="10"/>
        <v>6493</v>
      </c>
      <c r="E60" s="40">
        <f t="shared" si="10"/>
        <v>5699</v>
      </c>
      <c r="F60" s="40">
        <f t="shared" si="10"/>
        <v>7875</v>
      </c>
      <c r="G60" s="40">
        <f t="shared" si="10"/>
        <v>8126</v>
      </c>
      <c r="H60" s="40">
        <f t="shared" si="10"/>
        <v>11065</v>
      </c>
      <c r="I60" s="40">
        <f t="shared" si="10"/>
        <v>10872</v>
      </c>
      <c r="J60" s="40">
        <f t="shared" si="10"/>
        <v>6864</v>
      </c>
      <c r="K60" s="40">
        <f t="shared" si="10"/>
        <v>5785</v>
      </c>
      <c r="L60" s="40">
        <f t="shared" si="10"/>
        <v>5315</v>
      </c>
      <c r="M60" s="40">
        <f t="shared" si="10"/>
        <v>4651</v>
      </c>
      <c r="N60" s="40">
        <f>+N10+N11+N12+N13+N14+N25+N26+N31+N32</f>
        <v>81619</v>
      </c>
    </row>
    <row r="61" spans="1:14" ht="16.2" x14ac:dyDescent="0.25">
      <c r="A61" s="36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5" spans="1:14" ht="16.2" x14ac:dyDescent="0.25">
      <c r="A65" s="39" t="s">
        <v>179</v>
      </c>
      <c r="B65" s="40">
        <f>+B4+B7+B8+B9+B5+B6</f>
        <v>3580</v>
      </c>
      <c r="C65" s="40">
        <f t="shared" ref="C65:N65" si="11">+C4+C7+C8+C9+C5+C6</f>
        <v>1840</v>
      </c>
      <c r="D65" s="40">
        <f t="shared" si="11"/>
        <v>2040</v>
      </c>
      <c r="E65" s="40">
        <f t="shared" si="11"/>
        <v>4110</v>
      </c>
      <c r="F65" s="40">
        <f t="shared" si="11"/>
        <v>4810</v>
      </c>
      <c r="G65" s="40">
        <f t="shared" si="11"/>
        <v>4310</v>
      </c>
      <c r="H65" s="40">
        <f t="shared" si="11"/>
        <v>4210</v>
      </c>
      <c r="I65" s="40">
        <f t="shared" si="11"/>
        <v>4070</v>
      </c>
      <c r="J65" s="40">
        <f t="shared" si="11"/>
        <v>3290</v>
      </c>
      <c r="K65" s="40">
        <f t="shared" si="11"/>
        <v>4320</v>
      </c>
      <c r="L65" s="40">
        <f t="shared" si="11"/>
        <v>3390</v>
      </c>
      <c r="M65" s="40">
        <f t="shared" si="11"/>
        <v>3660</v>
      </c>
      <c r="N65" s="40">
        <f t="shared" si="11"/>
        <v>43630</v>
      </c>
    </row>
    <row r="66" spans="1:14" ht="16.2" x14ac:dyDescent="0.25">
      <c r="A66" s="39" t="s">
        <v>177</v>
      </c>
      <c r="B66" s="40">
        <f>+B15+B16+B23+B24</f>
        <v>2624</v>
      </c>
      <c r="C66" s="40">
        <f t="shared" ref="C66:N66" si="12">+C15+C16+C23+C24</f>
        <v>1860</v>
      </c>
      <c r="D66" s="40">
        <f t="shared" si="12"/>
        <v>1124</v>
      </c>
      <c r="E66" s="40">
        <f t="shared" si="12"/>
        <v>3330</v>
      </c>
      <c r="F66" s="40">
        <f t="shared" si="12"/>
        <v>3806</v>
      </c>
      <c r="G66" s="40">
        <f t="shared" si="12"/>
        <v>3683</v>
      </c>
      <c r="H66" s="40">
        <f t="shared" si="12"/>
        <v>4557</v>
      </c>
      <c r="I66" s="40">
        <f t="shared" si="12"/>
        <v>4607</v>
      </c>
      <c r="J66" s="40">
        <f t="shared" si="12"/>
        <v>3265</v>
      </c>
      <c r="K66" s="40">
        <f t="shared" si="12"/>
        <v>2917</v>
      </c>
      <c r="L66" s="40">
        <f t="shared" si="12"/>
        <v>3006</v>
      </c>
      <c r="M66" s="40">
        <f t="shared" si="12"/>
        <v>2803</v>
      </c>
      <c r="N66" s="40">
        <f t="shared" si="12"/>
        <v>37582</v>
      </c>
    </row>
    <row r="67" spans="1:14" ht="16.2" x14ac:dyDescent="0.25">
      <c r="A67" s="33" t="s">
        <v>178</v>
      </c>
      <c r="B67" s="40">
        <f>+B19+B20+B27+B28</f>
        <v>12</v>
      </c>
      <c r="C67" s="40">
        <f t="shared" ref="C67:N67" si="13">+C19+C20+C27+C28</f>
        <v>4</v>
      </c>
      <c r="D67" s="40">
        <f t="shared" si="13"/>
        <v>8</v>
      </c>
      <c r="E67" s="40">
        <f t="shared" si="13"/>
        <v>14</v>
      </c>
      <c r="F67" s="40">
        <f t="shared" si="13"/>
        <v>38</v>
      </c>
      <c r="G67" s="40">
        <f t="shared" si="13"/>
        <v>25</v>
      </c>
      <c r="H67" s="40">
        <f t="shared" si="13"/>
        <v>47</v>
      </c>
      <c r="I67" s="40">
        <f t="shared" si="13"/>
        <v>45</v>
      </c>
      <c r="J67" s="40">
        <f t="shared" si="13"/>
        <v>20</v>
      </c>
      <c r="K67" s="40">
        <f t="shared" si="13"/>
        <v>4</v>
      </c>
      <c r="L67" s="40">
        <f t="shared" si="13"/>
        <v>0</v>
      </c>
      <c r="M67" s="40">
        <f t="shared" si="13"/>
        <v>2</v>
      </c>
      <c r="N67" s="40">
        <f t="shared" si="13"/>
        <v>219</v>
      </c>
    </row>
    <row r="68" spans="1:14" ht="16.2" x14ac:dyDescent="0.25">
      <c r="A68" s="33" t="s">
        <v>180</v>
      </c>
      <c r="B68" s="40">
        <f>+B33+B34+B35+B36+B37+B38+B39+B40+B41+B42+B43+B44+B45+B46+B47+B48+B49+B50</f>
        <v>402</v>
      </c>
      <c r="C68" s="40">
        <f t="shared" ref="C68:H68" si="14">+C33+C34+C35+C36+C37+C38+C39+C40+C41+C42+C43+C44+C45+C46+C47+C48+C49+C50</f>
        <v>281</v>
      </c>
      <c r="D68" s="40">
        <f t="shared" si="14"/>
        <v>160</v>
      </c>
      <c r="E68" s="40">
        <f t="shared" si="14"/>
        <v>522</v>
      </c>
      <c r="F68" s="40">
        <f t="shared" si="14"/>
        <v>647</v>
      </c>
      <c r="G68" s="40">
        <f t="shared" si="14"/>
        <v>675</v>
      </c>
      <c r="H68" s="40">
        <f t="shared" si="14"/>
        <v>712</v>
      </c>
      <c r="I68" s="40">
        <f>+I33+I34+I35+I36+I37+I38+I39+I40+I41+I42+I43+I44+I45+I46+I47+I48+I49+I50+I17</f>
        <v>706</v>
      </c>
      <c r="J68" s="40">
        <f t="shared" ref="J68:N68" si="15">+J33+J34+J35+J36+J37+J38+J39+J40+J41+J42+J43+J44+J45+J46+J47+J48+J49+J50+J17</f>
        <v>649</v>
      </c>
      <c r="K68" s="40">
        <f t="shared" si="15"/>
        <v>745</v>
      </c>
      <c r="L68" s="40">
        <f t="shared" si="15"/>
        <v>494</v>
      </c>
      <c r="M68" s="40">
        <f t="shared" si="15"/>
        <v>376</v>
      </c>
      <c r="N68" s="40">
        <f t="shared" si="15"/>
        <v>6371</v>
      </c>
    </row>
    <row r="69" spans="1:14" ht="16.2" x14ac:dyDescent="0.25">
      <c r="A69" s="33" t="s">
        <v>157</v>
      </c>
      <c r="B69" s="40">
        <f>+B12+B30</f>
        <v>3600</v>
      </c>
      <c r="C69" s="40">
        <f t="shared" ref="C69:N69" si="16">+C12+C30</f>
        <v>4300</v>
      </c>
      <c r="D69" s="40">
        <f t="shared" si="16"/>
        <v>5050</v>
      </c>
      <c r="E69" s="40">
        <f t="shared" si="16"/>
        <v>4175</v>
      </c>
      <c r="F69" s="40">
        <f t="shared" si="16"/>
        <v>5450</v>
      </c>
      <c r="G69" s="40">
        <f t="shared" si="16"/>
        <v>5825</v>
      </c>
      <c r="H69" s="40">
        <f t="shared" si="16"/>
        <v>5900</v>
      </c>
      <c r="I69" s="40">
        <f t="shared" si="16"/>
        <v>5300</v>
      </c>
      <c r="J69" s="40">
        <f t="shared" si="16"/>
        <v>4975</v>
      </c>
      <c r="K69" s="40">
        <f t="shared" si="16"/>
        <v>5375</v>
      </c>
      <c r="L69" s="40">
        <f t="shared" si="16"/>
        <v>3750</v>
      </c>
      <c r="M69" s="40">
        <f t="shared" si="16"/>
        <v>3800</v>
      </c>
      <c r="N69" s="40">
        <f t="shared" si="16"/>
        <v>57500</v>
      </c>
    </row>
    <row r="70" spans="1:14" ht="16.2" x14ac:dyDescent="0.25">
      <c r="A70" s="33" t="s">
        <v>181</v>
      </c>
      <c r="B70" s="40">
        <f>+B13+B14+B25+B26</f>
        <v>2551</v>
      </c>
      <c r="C70" s="40">
        <f t="shared" ref="C70:N70" si="17">+C13+C14+C25+C26</f>
        <v>2148</v>
      </c>
      <c r="D70" s="40">
        <f t="shared" si="17"/>
        <v>3843</v>
      </c>
      <c r="E70" s="40">
        <f t="shared" si="17"/>
        <v>3774</v>
      </c>
      <c r="F70" s="40">
        <f t="shared" si="17"/>
        <v>4675</v>
      </c>
      <c r="G70" s="40">
        <f t="shared" si="17"/>
        <v>5376</v>
      </c>
      <c r="H70" s="40">
        <f t="shared" si="17"/>
        <v>8090</v>
      </c>
      <c r="I70" s="40">
        <f t="shared" si="17"/>
        <v>8322</v>
      </c>
      <c r="J70" s="40">
        <f t="shared" si="17"/>
        <v>4439</v>
      </c>
      <c r="K70" s="40">
        <f t="shared" si="17"/>
        <v>3035</v>
      </c>
      <c r="L70" s="40">
        <f t="shared" si="17"/>
        <v>3190</v>
      </c>
      <c r="M70" s="40">
        <f t="shared" si="17"/>
        <v>2951</v>
      </c>
      <c r="N70" s="40">
        <f t="shared" si="17"/>
        <v>52394</v>
      </c>
    </row>
    <row r="71" spans="1:14" ht="16.2" x14ac:dyDescent="0.25">
      <c r="A71" s="33" t="s">
        <v>182</v>
      </c>
      <c r="B71" s="40">
        <f>+B10+B11+B31+B32</f>
        <v>0</v>
      </c>
      <c r="C71" s="40">
        <f t="shared" ref="C71:N71" si="18">+C10+C11+C31+C32</f>
        <v>0</v>
      </c>
      <c r="D71" s="40">
        <f t="shared" si="18"/>
        <v>0</v>
      </c>
      <c r="E71" s="40">
        <f t="shared" si="18"/>
        <v>0</v>
      </c>
      <c r="F71" s="40">
        <f t="shared" si="18"/>
        <v>0</v>
      </c>
      <c r="G71" s="40">
        <f t="shared" si="18"/>
        <v>0</v>
      </c>
      <c r="H71" s="40">
        <f t="shared" si="18"/>
        <v>0</v>
      </c>
      <c r="I71" s="40">
        <f t="shared" si="18"/>
        <v>0</v>
      </c>
      <c r="J71" s="40">
        <f t="shared" si="18"/>
        <v>0</v>
      </c>
      <c r="K71" s="40">
        <f t="shared" si="18"/>
        <v>0</v>
      </c>
      <c r="L71" s="40">
        <f t="shared" si="18"/>
        <v>0</v>
      </c>
      <c r="M71" s="40">
        <f t="shared" si="18"/>
        <v>0</v>
      </c>
      <c r="N71" s="40">
        <f t="shared" si="1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1"/>
  <sheetViews>
    <sheetView workbookViewId="0">
      <pane xSplit="1" ySplit="3" topLeftCell="J35" activePane="bottomRight" state="frozen"/>
      <selection pane="topRight" activeCell="B1" sqref="B1"/>
      <selection pane="bottomLeft" activeCell="A4" sqref="A4"/>
      <selection pane="bottomRight" activeCell="M55" sqref="M55"/>
    </sheetView>
  </sheetViews>
  <sheetFormatPr defaultRowHeight="15" x14ac:dyDescent="0.25"/>
  <cols>
    <col min="1" max="1" width="27" customWidth="1"/>
  </cols>
  <sheetData>
    <row r="1" spans="1:14" ht="18.600000000000001" x14ac:dyDescent="0.25">
      <c r="A1" s="48" t="s">
        <v>197</v>
      </c>
    </row>
    <row r="2" spans="1:14" x14ac:dyDescent="0.25">
      <c r="A2" s="49"/>
    </row>
    <row r="3" spans="1:14" ht="16.8" x14ac:dyDescent="0.25">
      <c r="A3" s="49"/>
      <c r="B3" s="47" t="s">
        <v>29</v>
      </c>
      <c r="C3" s="34" t="s">
        <v>30</v>
      </c>
      <c r="D3" s="34" t="s">
        <v>31</v>
      </c>
      <c r="E3" s="34" t="s">
        <v>32</v>
      </c>
      <c r="F3" s="34" t="s">
        <v>33</v>
      </c>
      <c r="G3" s="34" t="s">
        <v>34</v>
      </c>
      <c r="H3" s="34" t="s">
        <v>35</v>
      </c>
      <c r="I3" s="34" t="s">
        <v>36</v>
      </c>
      <c r="J3" s="34" t="s">
        <v>37</v>
      </c>
      <c r="K3" s="34" t="s">
        <v>38</v>
      </c>
      <c r="L3" s="34" t="s">
        <v>39</v>
      </c>
      <c r="M3" s="34" t="s">
        <v>40</v>
      </c>
      <c r="N3" s="35" t="s">
        <v>41</v>
      </c>
    </row>
    <row r="4" spans="1:14" ht="16.2" x14ac:dyDescent="0.25">
      <c r="A4" s="50" t="s">
        <v>190</v>
      </c>
      <c r="B4" s="52">
        <v>60</v>
      </c>
      <c r="C4" s="52">
        <v>40</v>
      </c>
      <c r="D4" s="52">
        <v>30</v>
      </c>
      <c r="E4" s="52">
        <v>20</v>
      </c>
      <c r="F4" s="52">
        <v>70</v>
      </c>
      <c r="G4" s="58">
        <v>50</v>
      </c>
      <c r="H4" s="52">
        <v>40</v>
      </c>
      <c r="I4" s="52">
        <v>20</v>
      </c>
      <c r="J4" s="52"/>
      <c r="K4" s="52">
        <v>40</v>
      </c>
      <c r="L4" s="52">
        <v>30</v>
      </c>
      <c r="M4" s="52">
        <v>40</v>
      </c>
      <c r="N4" s="52">
        <f>SUM(B4:M4)</f>
        <v>440</v>
      </c>
    </row>
    <row r="5" spans="1:14" ht="16.2" x14ac:dyDescent="0.25">
      <c r="A5" s="50" t="s">
        <v>191</v>
      </c>
      <c r="B5" s="52"/>
      <c r="C5" s="52">
        <v>10</v>
      </c>
      <c r="D5" s="52"/>
      <c r="E5" s="52"/>
      <c r="F5" s="52">
        <v>20</v>
      </c>
      <c r="G5" s="58">
        <v>50</v>
      </c>
      <c r="H5" s="52">
        <v>30</v>
      </c>
      <c r="I5" s="52">
        <v>10</v>
      </c>
      <c r="J5" s="52"/>
      <c r="K5" s="52">
        <v>10</v>
      </c>
      <c r="L5" s="52">
        <v>10</v>
      </c>
      <c r="M5" s="52">
        <v>20</v>
      </c>
      <c r="N5" s="52">
        <f t="shared" ref="N5:N6" si="0">SUM(B5:M5)</f>
        <v>160</v>
      </c>
    </row>
    <row r="6" spans="1:14" ht="16.2" x14ac:dyDescent="0.25">
      <c r="A6" s="50" t="s">
        <v>186</v>
      </c>
      <c r="B6" s="52">
        <v>1880</v>
      </c>
      <c r="C6" s="52">
        <v>1760</v>
      </c>
      <c r="D6" s="52">
        <v>1820</v>
      </c>
      <c r="E6" s="52">
        <v>1740</v>
      </c>
      <c r="F6" s="52">
        <v>2020</v>
      </c>
      <c r="G6" s="58">
        <v>2020</v>
      </c>
      <c r="H6" s="52">
        <v>2740</v>
      </c>
      <c r="I6" s="52">
        <v>880</v>
      </c>
      <c r="J6" s="52">
        <v>1200</v>
      </c>
      <c r="K6" s="52">
        <v>1500</v>
      </c>
      <c r="L6" s="52">
        <v>1420</v>
      </c>
      <c r="M6" s="52">
        <v>1320</v>
      </c>
      <c r="N6" s="52">
        <f t="shared" si="0"/>
        <v>20300</v>
      </c>
    </row>
    <row r="7" spans="1:14" ht="16.2" x14ac:dyDescent="0.25">
      <c r="A7" s="50" t="s">
        <v>59</v>
      </c>
      <c r="B7" s="52"/>
      <c r="C7" s="52"/>
      <c r="D7" s="52"/>
      <c r="E7" s="52"/>
      <c r="F7" s="52">
        <v>20</v>
      </c>
      <c r="G7" s="58"/>
      <c r="H7" s="52">
        <v>120</v>
      </c>
      <c r="I7" s="52"/>
      <c r="J7" s="52"/>
      <c r="K7" s="52"/>
      <c r="L7" s="52"/>
      <c r="M7" s="52"/>
      <c r="N7" s="52">
        <f>SUM(B7:M7)</f>
        <v>140</v>
      </c>
    </row>
    <row r="8" spans="1:14" ht="16.2" x14ac:dyDescent="0.25">
      <c r="A8" s="50" t="s">
        <v>187</v>
      </c>
      <c r="B8" s="52">
        <v>2060</v>
      </c>
      <c r="C8" s="52">
        <v>1620</v>
      </c>
      <c r="D8" s="52">
        <v>2340</v>
      </c>
      <c r="E8" s="52">
        <v>2440</v>
      </c>
      <c r="F8" s="52">
        <v>2620</v>
      </c>
      <c r="G8" s="58">
        <v>2260</v>
      </c>
      <c r="H8" s="52">
        <v>3840</v>
      </c>
      <c r="I8" s="52">
        <v>1400</v>
      </c>
      <c r="J8" s="52">
        <v>1860</v>
      </c>
      <c r="K8" s="52">
        <v>1660</v>
      </c>
      <c r="L8" s="52">
        <v>1960</v>
      </c>
      <c r="M8" s="52">
        <v>2160</v>
      </c>
      <c r="N8" s="52">
        <f>SUM(B8:M8)</f>
        <v>26220</v>
      </c>
    </row>
    <row r="9" spans="1:14" ht="16.2" x14ac:dyDescent="0.25">
      <c r="A9" s="50" t="s">
        <v>188</v>
      </c>
      <c r="B9" s="52"/>
      <c r="C9" s="52"/>
      <c r="D9" s="52"/>
      <c r="E9" s="52"/>
      <c r="F9" s="52"/>
      <c r="G9" s="58">
        <v>20</v>
      </c>
      <c r="H9" s="52"/>
      <c r="I9" s="52">
        <v>20</v>
      </c>
      <c r="J9" s="52"/>
      <c r="K9" s="52"/>
      <c r="L9" s="52"/>
      <c r="M9" s="52"/>
      <c r="N9" s="52">
        <f>SUM(B9:M9)</f>
        <v>40</v>
      </c>
    </row>
    <row r="10" spans="1:14" ht="16.2" x14ac:dyDescent="0.25">
      <c r="A10" s="50" t="s">
        <v>134</v>
      </c>
      <c r="B10" s="52"/>
      <c r="C10" s="52"/>
      <c r="D10" s="52"/>
      <c r="E10" s="52"/>
      <c r="F10" s="52">
        <v>118</v>
      </c>
      <c r="G10" s="58">
        <v>174</v>
      </c>
      <c r="H10" s="52">
        <v>276</v>
      </c>
      <c r="I10" s="52"/>
      <c r="J10" s="52"/>
      <c r="K10" s="52"/>
      <c r="L10" s="52"/>
      <c r="M10" s="52"/>
      <c r="N10" s="52">
        <f>SUM(B10:M10)</f>
        <v>568</v>
      </c>
    </row>
    <row r="11" spans="1:14" ht="16.2" x14ac:dyDescent="0.25">
      <c r="A11" s="50" t="s">
        <v>135</v>
      </c>
      <c r="B11" s="52">
        <v>41</v>
      </c>
      <c r="C11" s="52">
        <v>19</v>
      </c>
      <c r="D11" s="52">
        <v>64</v>
      </c>
      <c r="E11" s="52">
        <v>64</v>
      </c>
      <c r="F11" s="52">
        <v>121</v>
      </c>
      <c r="G11" s="58"/>
      <c r="H11" s="52"/>
      <c r="I11" s="52"/>
      <c r="J11" s="52"/>
      <c r="K11" s="52"/>
      <c r="L11" s="52"/>
      <c r="M11" s="52"/>
      <c r="N11" s="52">
        <f t="shared" ref="N11:N52" si="1">SUM(B11:M11)</f>
        <v>309</v>
      </c>
    </row>
    <row r="12" spans="1:14" ht="16.2" x14ac:dyDescent="0.25">
      <c r="A12" s="50" t="s">
        <v>60</v>
      </c>
      <c r="B12" s="52">
        <v>1925</v>
      </c>
      <c r="C12" s="52">
        <v>1525</v>
      </c>
      <c r="D12" s="52">
        <v>1825</v>
      </c>
      <c r="E12" s="52">
        <v>2350</v>
      </c>
      <c r="F12" s="52">
        <v>2975</v>
      </c>
      <c r="G12" s="58">
        <v>2450</v>
      </c>
      <c r="H12" s="52">
        <v>6175</v>
      </c>
      <c r="I12" s="52">
        <v>1675</v>
      </c>
      <c r="J12" s="52">
        <v>1725</v>
      </c>
      <c r="K12" s="52">
        <v>2000</v>
      </c>
      <c r="L12" s="52">
        <v>1800</v>
      </c>
      <c r="M12" s="52">
        <v>1800</v>
      </c>
      <c r="N12" s="52">
        <f t="shared" si="1"/>
        <v>28225</v>
      </c>
    </row>
    <row r="13" spans="1:14" ht="16.2" x14ac:dyDescent="0.25">
      <c r="A13" s="50" t="s">
        <v>111</v>
      </c>
      <c r="B13" s="52"/>
      <c r="C13" s="52"/>
      <c r="D13" s="52"/>
      <c r="E13" s="52"/>
      <c r="F13" s="52">
        <v>1275</v>
      </c>
      <c r="G13" s="58">
        <v>3354</v>
      </c>
      <c r="H13" s="52">
        <v>4630</v>
      </c>
      <c r="I13" s="52">
        <v>4639</v>
      </c>
      <c r="J13" s="52">
        <v>3054</v>
      </c>
      <c r="K13" s="52"/>
      <c r="L13" s="52"/>
      <c r="M13" s="52"/>
      <c r="N13" s="52">
        <f t="shared" si="1"/>
        <v>16952</v>
      </c>
    </row>
    <row r="14" spans="1:14" ht="16.2" x14ac:dyDescent="0.25">
      <c r="A14" s="50" t="s">
        <v>136</v>
      </c>
      <c r="B14" s="52">
        <v>1679</v>
      </c>
      <c r="C14" s="52">
        <v>1520</v>
      </c>
      <c r="D14" s="52">
        <v>2148</v>
      </c>
      <c r="E14" s="52">
        <v>2222</v>
      </c>
      <c r="F14" s="52">
        <v>1780</v>
      </c>
      <c r="G14" s="58"/>
      <c r="H14" s="52"/>
      <c r="I14" s="52"/>
      <c r="J14" s="52"/>
      <c r="K14" s="52">
        <v>2385</v>
      </c>
      <c r="L14" s="52">
        <v>2007</v>
      </c>
      <c r="M14" s="52">
        <v>1995</v>
      </c>
      <c r="N14" s="52">
        <f t="shared" si="1"/>
        <v>15736</v>
      </c>
    </row>
    <row r="15" spans="1:14" ht="16.2" x14ac:dyDescent="0.25">
      <c r="A15" s="50" t="s">
        <v>127</v>
      </c>
      <c r="B15" s="52"/>
      <c r="C15" s="52"/>
      <c r="D15" s="52"/>
      <c r="E15" s="52"/>
      <c r="F15" s="52">
        <v>1128</v>
      </c>
      <c r="G15" s="58">
        <v>3126</v>
      </c>
      <c r="H15" s="52">
        <v>3856</v>
      </c>
      <c r="I15" s="52">
        <v>3384</v>
      </c>
      <c r="J15" s="52">
        <v>2521</v>
      </c>
      <c r="K15" s="52"/>
      <c r="L15" s="52"/>
      <c r="M15" s="52"/>
      <c r="N15" s="52">
        <f t="shared" si="1"/>
        <v>14015</v>
      </c>
    </row>
    <row r="16" spans="1:14" ht="16.2" x14ac:dyDescent="0.25">
      <c r="A16" s="50" t="s">
        <v>137</v>
      </c>
      <c r="B16" s="52">
        <v>2132</v>
      </c>
      <c r="C16" s="52">
        <v>2001</v>
      </c>
      <c r="D16" s="52">
        <v>2690</v>
      </c>
      <c r="E16" s="52">
        <v>2668</v>
      </c>
      <c r="F16" s="52">
        <v>1974</v>
      </c>
      <c r="G16" s="58"/>
      <c r="H16" s="52"/>
      <c r="I16" s="52"/>
      <c r="J16" s="52"/>
      <c r="K16" s="52">
        <v>1825</v>
      </c>
      <c r="L16" s="52">
        <v>2228</v>
      </c>
      <c r="M16" s="52">
        <v>2178</v>
      </c>
      <c r="N16" s="52">
        <f t="shared" si="1"/>
        <v>17696</v>
      </c>
    </row>
    <row r="17" spans="1:14" ht="16.2" x14ac:dyDescent="0.25">
      <c r="A17" s="50" t="s">
        <v>8</v>
      </c>
      <c r="B17" s="52"/>
      <c r="C17" s="52"/>
      <c r="D17" s="52">
        <v>3</v>
      </c>
      <c r="E17" s="52"/>
      <c r="F17" s="52"/>
      <c r="G17" s="58"/>
      <c r="H17" s="52"/>
      <c r="I17" s="52"/>
      <c r="J17" s="52"/>
      <c r="K17" s="52"/>
      <c r="L17" s="52"/>
      <c r="M17" s="52"/>
      <c r="N17" s="52">
        <f t="shared" si="1"/>
        <v>3</v>
      </c>
    </row>
    <row r="18" spans="1:14" ht="16.2" x14ac:dyDescent="0.25">
      <c r="A18" s="50" t="s">
        <v>62</v>
      </c>
      <c r="B18" s="52"/>
      <c r="C18" s="52">
        <v>1</v>
      </c>
      <c r="D18" s="52">
        <v>1</v>
      </c>
      <c r="E18" s="52">
        <v>3</v>
      </c>
      <c r="F18" s="52"/>
      <c r="G18" s="58">
        <v>4</v>
      </c>
      <c r="H18" s="52">
        <v>4</v>
      </c>
      <c r="I18" s="52">
        <v>2</v>
      </c>
      <c r="J18" s="52">
        <v>4</v>
      </c>
      <c r="K18" s="52">
        <v>1</v>
      </c>
      <c r="L18" s="52">
        <v>1</v>
      </c>
      <c r="M18" s="52">
        <v>1</v>
      </c>
      <c r="N18" s="52">
        <f t="shared" si="1"/>
        <v>22</v>
      </c>
    </row>
    <row r="19" spans="1:14" ht="16.2" x14ac:dyDescent="0.25">
      <c r="A19" s="50" t="s">
        <v>138</v>
      </c>
      <c r="B19" s="52"/>
      <c r="C19" s="52"/>
      <c r="D19" s="52"/>
      <c r="E19" s="52"/>
      <c r="F19" s="52">
        <v>17</v>
      </c>
      <c r="G19" s="58">
        <v>29</v>
      </c>
      <c r="H19" s="52">
        <v>67</v>
      </c>
      <c r="I19" s="52">
        <v>44</v>
      </c>
      <c r="J19" s="52">
        <v>38</v>
      </c>
      <c r="K19" s="52"/>
      <c r="L19" s="52"/>
      <c r="M19" s="52"/>
      <c r="N19" s="52">
        <f t="shared" si="1"/>
        <v>195</v>
      </c>
    </row>
    <row r="20" spans="1:14" ht="16.2" x14ac:dyDescent="0.25">
      <c r="A20" s="50" t="s">
        <v>139</v>
      </c>
      <c r="B20" s="52">
        <v>2</v>
      </c>
      <c r="C20" s="52">
        <v>2</v>
      </c>
      <c r="D20" s="52">
        <v>11</v>
      </c>
      <c r="E20" s="52">
        <v>8</v>
      </c>
      <c r="F20" s="52">
        <v>18</v>
      </c>
      <c r="G20" s="58"/>
      <c r="H20" s="52"/>
      <c r="I20" s="52"/>
      <c r="J20" s="52"/>
      <c r="K20" s="52">
        <v>17</v>
      </c>
      <c r="L20" s="52">
        <v>3</v>
      </c>
      <c r="M20" s="52">
        <v>3</v>
      </c>
      <c r="N20" s="52">
        <f t="shared" si="1"/>
        <v>64</v>
      </c>
    </row>
    <row r="21" spans="1:14" ht="16.2" x14ac:dyDescent="0.25">
      <c r="A21" s="50" t="s">
        <v>11</v>
      </c>
      <c r="B21" s="52">
        <v>19</v>
      </c>
      <c r="C21" s="52">
        <v>18</v>
      </c>
      <c r="D21" s="52">
        <v>21</v>
      </c>
      <c r="E21" s="52">
        <v>16</v>
      </c>
      <c r="F21" s="52">
        <v>21</v>
      </c>
      <c r="G21" s="58">
        <v>10</v>
      </c>
      <c r="H21" s="52"/>
      <c r="I21" s="52"/>
      <c r="J21" s="52">
        <v>16</v>
      </c>
      <c r="K21" s="52">
        <v>22</v>
      </c>
      <c r="L21" s="52">
        <v>19</v>
      </c>
      <c r="M21" s="52">
        <v>13</v>
      </c>
      <c r="N21" s="52">
        <f>SUM(B21:M21)</f>
        <v>175</v>
      </c>
    </row>
    <row r="22" spans="1:14" ht="16.2" x14ac:dyDescent="0.25">
      <c r="A22" s="50" t="s">
        <v>12</v>
      </c>
      <c r="B22" s="52">
        <v>2</v>
      </c>
      <c r="C22" s="52"/>
      <c r="D22" s="52">
        <v>2</v>
      </c>
      <c r="E22" s="52"/>
      <c r="F22" s="52">
        <v>6</v>
      </c>
      <c r="G22" s="58">
        <v>1</v>
      </c>
      <c r="H22" s="65">
        <v>4</v>
      </c>
      <c r="I22" s="52">
        <v>1</v>
      </c>
      <c r="J22" s="52">
        <v>7</v>
      </c>
      <c r="K22" s="52">
        <v>7</v>
      </c>
      <c r="L22" s="52">
        <v>7</v>
      </c>
      <c r="M22" s="52">
        <v>2</v>
      </c>
      <c r="N22" s="52">
        <f t="shared" si="1"/>
        <v>39</v>
      </c>
    </row>
    <row r="23" spans="1:14" ht="16.2" x14ac:dyDescent="0.25">
      <c r="A23" s="50" t="s">
        <v>145</v>
      </c>
      <c r="B23" s="52"/>
      <c r="C23" s="52"/>
      <c r="D23" s="52"/>
      <c r="E23" s="52"/>
      <c r="F23" s="52">
        <v>423</v>
      </c>
      <c r="G23" s="58">
        <v>1045</v>
      </c>
      <c r="H23" s="52">
        <v>1237</v>
      </c>
      <c r="I23" s="52">
        <v>1212</v>
      </c>
      <c r="J23" s="52">
        <v>870</v>
      </c>
      <c r="K23" s="52"/>
      <c r="L23" s="52"/>
      <c r="M23" s="52"/>
      <c r="N23" s="52">
        <f>SUM(B23:M23)</f>
        <v>4787</v>
      </c>
    </row>
    <row r="24" spans="1:14" ht="16.2" x14ac:dyDescent="0.25">
      <c r="A24" s="50" t="s">
        <v>146</v>
      </c>
      <c r="B24" s="52">
        <v>728</v>
      </c>
      <c r="C24" s="52">
        <v>712</v>
      </c>
      <c r="D24" s="52">
        <v>936</v>
      </c>
      <c r="E24" s="52">
        <v>980</v>
      </c>
      <c r="F24" s="52">
        <v>649</v>
      </c>
      <c r="G24" s="58"/>
      <c r="H24" s="52"/>
      <c r="I24" s="52"/>
      <c r="J24" s="52"/>
      <c r="K24" s="52">
        <v>716</v>
      </c>
      <c r="L24" s="52">
        <v>729</v>
      </c>
      <c r="M24" s="52">
        <v>722</v>
      </c>
      <c r="N24" s="52">
        <f>SUM(B24:M24)</f>
        <v>6172</v>
      </c>
    </row>
    <row r="25" spans="1:14" ht="16.2" x14ac:dyDescent="0.25">
      <c r="A25" s="50" t="s">
        <v>184</v>
      </c>
      <c r="B25" s="52"/>
      <c r="C25" s="52"/>
      <c r="D25" s="52"/>
      <c r="E25" s="52"/>
      <c r="F25" s="52">
        <v>724</v>
      </c>
      <c r="G25" s="58">
        <v>1807</v>
      </c>
      <c r="H25" s="52">
        <v>2974</v>
      </c>
      <c r="I25" s="52">
        <v>2965</v>
      </c>
      <c r="J25" s="52">
        <v>1505</v>
      </c>
      <c r="K25" s="52"/>
      <c r="L25" s="52"/>
      <c r="M25" s="52"/>
      <c r="N25" s="52">
        <f>SUM(B25:M25)</f>
        <v>9975</v>
      </c>
    </row>
    <row r="26" spans="1:14" ht="16.2" x14ac:dyDescent="0.25">
      <c r="A26" s="50" t="s">
        <v>183</v>
      </c>
      <c r="B26" s="52">
        <v>622</v>
      </c>
      <c r="C26" s="52">
        <v>633</v>
      </c>
      <c r="D26" s="52">
        <v>894</v>
      </c>
      <c r="E26" s="52">
        <v>1147</v>
      </c>
      <c r="F26" s="52">
        <v>866</v>
      </c>
      <c r="G26" s="58"/>
      <c r="H26" s="52"/>
      <c r="I26" s="52"/>
      <c r="J26" s="52"/>
      <c r="K26" s="52">
        <v>1043</v>
      </c>
      <c r="L26" s="52">
        <v>963</v>
      </c>
      <c r="M26" s="52">
        <v>944</v>
      </c>
      <c r="N26" s="52">
        <f>SUM(B26:M26)</f>
        <v>7112</v>
      </c>
    </row>
    <row r="27" spans="1:14" ht="16.2" x14ac:dyDescent="0.25">
      <c r="A27" s="50" t="s">
        <v>140</v>
      </c>
      <c r="B27" s="52"/>
      <c r="C27" s="52"/>
      <c r="D27" s="52"/>
      <c r="E27" s="52"/>
      <c r="F27" s="52">
        <v>1</v>
      </c>
      <c r="G27" s="58">
        <v>5</v>
      </c>
      <c r="H27" s="52">
        <v>6</v>
      </c>
      <c r="I27" s="52">
        <v>5</v>
      </c>
      <c r="J27" s="52">
        <v>8</v>
      </c>
      <c r="K27" s="52"/>
      <c r="L27" s="52"/>
      <c r="M27" s="52"/>
      <c r="N27" s="52">
        <f t="shared" si="1"/>
        <v>25</v>
      </c>
    </row>
    <row r="28" spans="1:14" ht="16.2" x14ac:dyDescent="0.25">
      <c r="A28" s="50" t="s">
        <v>141</v>
      </c>
      <c r="B28" s="52"/>
      <c r="C28" s="52">
        <v>1</v>
      </c>
      <c r="D28" s="52">
        <v>2</v>
      </c>
      <c r="E28" s="52"/>
      <c r="F28" s="52">
        <v>2</v>
      </c>
      <c r="G28" s="58"/>
      <c r="H28" s="52"/>
      <c r="I28" s="52"/>
      <c r="J28" s="52"/>
      <c r="K28" s="52">
        <v>1</v>
      </c>
      <c r="L28" s="52"/>
      <c r="M28" s="52">
        <v>2</v>
      </c>
      <c r="N28" s="52">
        <f t="shared" si="1"/>
        <v>8</v>
      </c>
    </row>
    <row r="29" spans="1:14" ht="16.2" x14ac:dyDescent="0.25">
      <c r="A29" s="50" t="s">
        <v>91</v>
      </c>
      <c r="B29" s="52"/>
      <c r="C29" s="52"/>
      <c r="D29" s="52"/>
      <c r="E29" s="52"/>
      <c r="F29" s="52"/>
      <c r="G29" s="58"/>
      <c r="H29" s="52"/>
      <c r="I29" s="52"/>
      <c r="J29" s="52"/>
      <c r="K29" s="52"/>
      <c r="L29" s="52"/>
      <c r="M29" s="52"/>
      <c r="N29" s="52">
        <f>SUM(B29:M29)</f>
        <v>0</v>
      </c>
    </row>
    <row r="30" spans="1:14" ht="16.2" x14ac:dyDescent="0.25">
      <c r="A30" s="50" t="s">
        <v>15</v>
      </c>
      <c r="B30" s="52">
        <v>1900</v>
      </c>
      <c r="C30" s="52">
        <v>1550</v>
      </c>
      <c r="D30" s="52">
        <v>1850</v>
      </c>
      <c r="E30" s="52">
        <v>2050</v>
      </c>
      <c r="F30" s="52">
        <v>3125</v>
      </c>
      <c r="G30" s="58">
        <v>2725</v>
      </c>
      <c r="H30" s="52">
        <v>6600</v>
      </c>
      <c r="I30" s="52">
        <v>1550</v>
      </c>
      <c r="J30" s="52">
        <v>1625</v>
      </c>
      <c r="K30" s="52">
        <v>1900</v>
      </c>
      <c r="L30" s="52">
        <v>1775</v>
      </c>
      <c r="M30" s="52">
        <v>1800</v>
      </c>
      <c r="N30" s="52">
        <f>SUM(B30:M30)</f>
        <v>28450</v>
      </c>
    </row>
    <row r="31" spans="1:14" ht="16.2" x14ac:dyDescent="0.25">
      <c r="A31" s="50" t="s">
        <v>116</v>
      </c>
      <c r="B31" s="52"/>
      <c r="C31" s="52"/>
      <c r="D31" s="52"/>
      <c r="E31" s="52"/>
      <c r="F31" s="52">
        <v>52</v>
      </c>
      <c r="G31" s="58">
        <v>100</v>
      </c>
      <c r="H31" s="52">
        <v>119</v>
      </c>
      <c r="I31" s="52"/>
      <c r="J31" s="52"/>
      <c r="K31" s="52"/>
      <c r="L31" s="52"/>
      <c r="M31" s="52"/>
      <c r="N31" s="52">
        <f>SUM(B31:M31)</f>
        <v>271</v>
      </c>
    </row>
    <row r="32" spans="1:14" ht="16.2" x14ac:dyDescent="0.25">
      <c r="A32" s="50" t="s">
        <v>142</v>
      </c>
      <c r="B32" s="52">
        <v>2</v>
      </c>
      <c r="C32" s="52">
        <v>14</v>
      </c>
      <c r="D32" s="52">
        <v>21</v>
      </c>
      <c r="E32" s="52">
        <v>24</v>
      </c>
      <c r="F32" s="52">
        <v>58</v>
      </c>
      <c r="G32" s="58"/>
      <c r="H32" s="52"/>
      <c r="I32" s="52"/>
      <c r="J32" s="52"/>
      <c r="K32" s="52"/>
      <c r="L32" s="52"/>
      <c r="M32" s="52"/>
      <c r="N32" s="52">
        <f>SUM(B32:M32)</f>
        <v>119</v>
      </c>
    </row>
    <row r="33" spans="1:14" ht="16.2" x14ac:dyDescent="0.25">
      <c r="A33" s="50" t="s">
        <v>118</v>
      </c>
      <c r="B33" s="52"/>
      <c r="C33" s="52"/>
      <c r="D33" s="52"/>
      <c r="E33" s="52"/>
      <c r="F33" s="52">
        <v>116</v>
      </c>
      <c r="G33" s="58">
        <v>284</v>
      </c>
      <c r="H33" s="52">
        <v>270</v>
      </c>
      <c r="I33" s="52">
        <v>223</v>
      </c>
      <c r="J33" s="52">
        <v>213</v>
      </c>
      <c r="K33" s="52"/>
      <c r="L33" s="52"/>
      <c r="M33" s="52"/>
      <c r="N33" s="52">
        <f t="shared" si="1"/>
        <v>1106</v>
      </c>
    </row>
    <row r="34" spans="1:14" ht="16.2" x14ac:dyDescent="0.25">
      <c r="A34" s="50" t="s">
        <v>147</v>
      </c>
      <c r="B34" s="52">
        <v>270</v>
      </c>
      <c r="C34" s="52">
        <v>221</v>
      </c>
      <c r="D34" s="52">
        <v>261</v>
      </c>
      <c r="E34" s="52">
        <v>249</v>
      </c>
      <c r="F34" s="52">
        <v>160</v>
      </c>
      <c r="G34" s="58"/>
      <c r="H34" s="52"/>
      <c r="I34" s="52"/>
      <c r="J34" s="52"/>
      <c r="K34" s="52">
        <v>189</v>
      </c>
      <c r="L34" s="52">
        <v>201</v>
      </c>
      <c r="M34" s="52">
        <v>143</v>
      </c>
      <c r="N34" s="52">
        <f t="shared" si="1"/>
        <v>1694</v>
      </c>
    </row>
    <row r="35" spans="1:14" ht="16.2" x14ac:dyDescent="0.25">
      <c r="A35" s="50" t="s">
        <v>119</v>
      </c>
      <c r="B35" s="52"/>
      <c r="C35" s="52"/>
      <c r="D35" s="52"/>
      <c r="E35" s="52"/>
      <c r="F35" s="52">
        <v>48</v>
      </c>
      <c r="G35" s="58">
        <v>117</v>
      </c>
      <c r="H35" s="52">
        <v>74</v>
      </c>
      <c r="I35" s="52">
        <v>96</v>
      </c>
      <c r="J35" s="52">
        <v>84</v>
      </c>
      <c r="K35" s="52"/>
      <c r="L35" s="52"/>
      <c r="M35" s="52"/>
      <c r="N35" s="52">
        <f t="shared" si="1"/>
        <v>419</v>
      </c>
    </row>
    <row r="36" spans="1:14" ht="16.2" x14ac:dyDescent="0.25">
      <c r="A36" s="50" t="s">
        <v>148</v>
      </c>
      <c r="B36" s="52">
        <v>121</v>
      </c>
      <c r="C36" s="52">
        <v>89</v>
      </c>
      <c r="D36" s="52">
        <v>80</v>
      </c>
      <c r="E36" s="52">
        <v>103</v>
      </c>
      <c r="F36" s="52">
        <v>57</v>
      </c>
      <c r="G36" s="58"/>
      <c r="H36" s="52"/>
      <c r="I36" s="52"/>
      <c r="J36" s="52"/>
      <c r="K36" s="52">
        <v>122</v>
      </c>
      <c r="L36" s="52">
        <v>119</v>
      </c>
      <c r="M36" s="52">
        <v>92</v>
      </c>
      <c r="N36" s="52">
        <f t="shared" si="1"/>
        <v>783</v>
      </c>
    </row>
    <row r="37" spans="1:14" ht="16.2" x14ac:dyDescent="0.25">
      <c r="A37" s="50" t="s">
        <v>120</v>
      </c>
      <c r="B37" s="52"/>
      <c r="C37" s="52"/>
      <c r="D37" s="52"/>
      <c r="E37" s="52"/>
      <c r="F37" s="52">
        <v>35</v>
      </c>
      <c r="G37" s="58">
        <v>108</v>
      </c>
      <c r="H37" s="52">
        <v>99</v>
      </c>
      <c r="I37" s="52">
        <v>74</v>
      </c>
      <c r="J37" s="52">
        <v>69</v>
      </c>
      <c r="K37" s="52"/>
      <c r="L37" s="52"/>
      <c r="M37" s="52"/>
      <c r="N37" s="52">
        <f t="shared" si="1"/>
        <v>385</v>
      </c>
    </row>
    <row r="38" spans="1:14" ht="16.2" x14ac:dyDescent="0.25">
      <c r="A38" s="50" t="s">
        <v>149</v>
      </c>
      <c r="B38" s="52">
        <v>49</v>
      </c>
      <c r="C38" s="52">
        <v>45</v>
      </c>
      <c r="D38" s="52">
        <v>72</v>
      </c>
      <c r="E38" s="52">
        <v>79</v>
      </c>
      <c r="F38" s="52">
        <v>53</v>
      </c>
      <c r="G38" s="58"/>
      <c r="H38" s="52"/>
      <c r="I38" s="52"/>
      <c r="J38" s="52"/>
      <c r="K38" s="52">
        <v>60</v>
      </c>
      <c r="L38" s="52">
        <v>45</v>
      </c>
      <c r="M38" s="52">
        <v>47</v>
      </c>
      <c r="N38" s="52">
        <f t="shared" si="1"/>
        <v>450</v>
      </c>
    </row>
    <row r="39" spans="1:14" ht="16.2" x14ac:dyDescent="0.25">
      <c r="A39" s="50" t="s">
        <v>121</v>
      </c>
      <c r="B39" s="52"/>
      <c r="C39" s="52"/>
      <c r="D39" s="52"/>
      <c r="E39" s="52"/>
      <c r="F39" s="52">
        <v>29</v>
      </c>
      <c r="G39" s="58">
        <v>63</v>
      </c>
      <c r="H39" s="52">
        <v>71</v>
      </c>
      <c r="I39" s="52">
        <v>82</v>
      </c>
      <c r="J39" s="52">
        <v>59</v>
      </c>
      <c r="K39" s="52"/>
      <c r="L39" s="52"/>
      <c r="M39" s="52"/>
      <c r="N39" s="52">
        <f t="shared" si="1"/>
        <v>304</v>
      </c>
    </row>
    <row r="40" spans="1:14" ht="16.2" x14ac:dyDescent="0.25">
      <c r="A40" s="50" t="s">
        <v>150</v>
      </c>
      <c r="B40" s="52">
        <v>50</v>
      </c>
      <c r="C40" s="52">
        <v>41</v>
      </c>
      <c r="D40" s="52">
        <v>53</v>
      </c>
      <c r="E40" s="52">
        <v>66</v>
      </c>
      <c r="F40" s="52">
        <v>36</v>
      </c>
      <c r="G40" s="58"/>
      <c r="H40" s="52"/>
      <c r="I40" s="52"/>
      <c r="J40" s="52"/>
      <c r="K40" s="52">
        <v>70</v>
      </c>
      <c r="L40" s="52">
        <v>33</v>
      </c>
      <c r="M40" s="52">
        <v>28</v>
      </c>
      <c r="N40" s="52">
        <f t="shared" si="1"/>
        <v>377</v>
      </c>
    </row>
    <row r="41" spans="1:14" ht="16.2" x14ac:dyDescent="0.25">
      <c r="A41" s="50" t="s">
        <v>122</v>
      </c>
      <c r="B41" s="52"/>
      <c r="C41" s="52"/>
      <c r="D41" s="52"/>
      <c r="E41" s="52"/>
      <c r="F41" s="52">
        <v>11</v>
      </c>
      <c r="G41" s="58">
        <v>22</v>
      </c>
      <c r="H41" s="52">
        <v>34</v>
      </c>
      <c r="I41" s="52">
        <v>28</v>
      </c>
      <c r="J41" s="52">
        <v>24</v>
      </c>
      <c r="K41" s="52"/>
      <c r="L41" s="52"/>
      <c r="M41" s="52"/>
      <c r="N41" s="52">
        <f t="shared" si="1"/>
        <v>119</v>
      </c>
    </row>
    <row r="42" spans="1:14" ht="16.2" x14ac:dyDescent="0.25">
      <c r="A42" s="50" t="s">
        <v>151</v>
      </c>
      <c r="B42" s="52">
        <v>16</v>
      </c>
      <c r="C42" s="52">
        <v>16</v>
      </c>
      <c r="D42" s="52">
        <v>16</v>
      </c>
      <c r="E42" s="52">
        <v>20</v>
      </c>
      <c r="F42" s="52">
        <v>17</v>
      </c>
      <c r="G42" s="58"/>
      <c r="H42" s="52"/>
      <c r="I42" s="52"/>
      <c r="J42" s="52"/>
      <c r="K42" s="52">
        <v>25</v>
      </c>
      <c r="L42" s="52">
        <v>15</v>
      </c>
      <c r="M42" s="52">
        <v>8</v>
      </c>
      <c r="N42" s="52">
        <f t="shared" si="1"/>
        <v>133</v>
      </c>
    </row>
    <row r="43" spans="1:14" ht="16.2" x14ac:dyDescent="0.25">
      <c r="A43" s="50" t="s">
        <v>123</v>
      </c>
      <c r="B43" s="52"/>
      <c r="C43" s="52"/>
      <c r="D43" s="52"/>
      <c r="E43" s="52"/>
      <c r="F43" s="52">
        <v>5</v>
      </c>
      <c r="G43" s="58">
        <v>8</v>
      </c>
      <c r="H43" s="52">
        <v>17</v>
      </c>
      <c r="I43" s="52">
        <v>10</v>
      </c>
      <c r="J43" s="52">
        <v>15</v>
      </c>
      <c r="K43" s="52"/>
      <c r="L43" s="52"/>
      <c r="M43" s="52"/>
      <c r="N43" s="52">
        <f t="shared" si="1"/>
        <v>55</v>
      </c>
    </row>
    <row r="44" spans="1:14" ht="16.2" x14ac:dyDescent="0.25">
      <c r="A44" s="50" t="s">
        <v>152</v>
      </c>
      <c r="B44" s="52">
        <v>9</v>
      </c>
      <c r="C44" s="52">
        <v>3</v>
      </c>
      <c r="D44" s="52">
        <v>9</v>
      </c>
      <c r="E44" s="52">
        <v>8</v>
      </c>
      <c r="F44" s="52">
        <v>7</v>
      </c>
      <c r="G44" s="58"/>
      <c r="H44" s="52"/>
      <c r="I44" s="52"/>
      <c r="J44" s="52"/>
      <c r="K44" s="52">
        <v>13</v>
      </c>
      <c r="L44" s="52">
        <v>9</v>
      </c>
      <c r="M44" s="52">
        <v>7</v>
      </c>
      <c r="N44" s="52">
        <f t="shared" si="1"/>
        <v>65</v>
      </c>
    </row>
    <row r="45" spans="1:14" ht="16.2" x14ac:dyDescent="0.25">
      <c r="A45" s="50" t="s">
        <v>124</v>
      </c>
      <c r="B45" s="52"/>
      <c r="C45" s="52"/>
      <c r="D45" s="52"/>
      <c r="E45" s="52"/>
      <c r="F45" s="52">
        <v>5</v>
      </c>
      <c r="G45" s="58">
        <v>3</v>
      </c>
      <c r="H45" s="52">
        <v>2</v>
      </c>
      <c r="I45" s="52">
        <v>4</v>
      </c>
      <c r="J45" s="52">
        <v>3</v>
      </c>
      <c r="K45" s="52"/>
      <c r="L45" s="52"/>
      <c r="M45" s="52"/>
      <c r="N45" s="52">
        <f t="shared" si="1"/>
        <v>17</v>
      </c>
    </row>
    <row r="46" spans="1:14" ht="16.2" x14ac:dyDescent="0.25">
      <c r="A46" s="50" t="s">
        <v>153</v>
      </c>
      <c r="B46" s="52">
        <v>3</v>
      </c>
      <c r="C46" s="52">
        <v>1</v>
      </c>
      <c r="D46" s="52">
        <v>1</v>
      </c>
      <c r="E46" s="52">
        <v>2</v>
      </c>
      <c r="F46" s="52">
        <v>2</v>
      </c>
      <c r="G46" s="58"/>
      <c r="H46" s="52"/>
      <c r="I46" s="52"/>
      <c r="J46" s="52"/>
      <c r="K46" s="52">
        <v>3</v>
      </c>
      <c r="L46" s="52">
        <v>1</v>
      </c>
      <c r="M46" s="52">
        <v>5</v>
      </c>
      <c r="N46" s="52">
        <f t="shared" si="1"/>
        <v>18</v>
      </c>
    </row>
    <row r="47" spans="1:14" ht="16.2" x14ac:dyDescent="0.25">
      <c r="A47" s="50" t="s">
        <v>125</v>
      </c>
      <c r="B47" s="52"/>
      <c r="C47" s="52"/>
      <c r="D47" s="52"/>
      <c r="E47" s="52"/>
      <c r="F47" s="52">
        <v>2</v>
      </c>
      <c r="G47" s="58">
        <v>1</v>
      </c>
      <c r="H47" s="52">
        <v>4</v>
      </c>
      <c r="I47" s="52">
        <v>1</v>
      </c>
      <c r="J47" s="52"/>
      <c r="K47" s="52"/>
      <c r="L47" s="52"/>
      <c r="M47" s="52"/>
      <c r="N47" s="52">
        <f t="shared" si="1"/>
        <v>8</v>
      </c>
    </row>
    <row r="48" spans="1:14" ht="16.2" x14ac:dyDescent="0.25">
      <c r="A48" s="50" t="s">
        <v>154</v>
      </c>
      <c r="B48" s="52">
        <v>1</v>
      </c>
      <c r="C48" s="52">
        <v>1</v>
      </c>
      <c r="D48" s="52">
        <v>1</v>
      </c>
      <c r="E48" s="52">
        <v>2</v>
      </c>
      <c r="F48" s="52">
        <v>5</v>
      </c>
      <c r="G48" s="58"/>
      <c r="H48" s="52"/>
      <c r="I48" s="52"/>
      <c r="J48" s="52"/>
      <c r="K48" s="52"/>
      <c r="L48" s="52">
        <v>1</v>
      </c>
      <c r="M48" s="52"/>
      <c r="N48" s="52">
        <f t="shared" si="1"/>
        <v>11</v>
      </c>
    </row>
    <row r="49" spans="1:14" ht="16.2" x14ac:dyDescent="0.25">
      <c r="A49" s="50" t="s">
        <v>126</v>
      </c>
      <c r="B49" s="52"/>
      <c r="C49" s="52"/>
      <c r="D49" s="52"/>
      <c r="E49" s="52"/>
      <c r="F49" s="52">
        <v>4</v>
      </c>
      <c r="G49" s="58">
        <v>4</v>
      </c>
      <c r="H49" s="52">
        <v>3</v>
      </c>
      <c r="I49" s="52">
        <v>3</v>
      </c>
      <c r="J49" s="52">
        <v>4</v>
      </c>
      <c r="K49" s="52"/>
      <c r="L49" s="52"/>
      <c r="M49" s="52"/>
      <c r="N49" s="52">
        <f t="shared" si="1"/>
        <v>18</v>
      </c>
    </row>
    <row r="50" spans="1:14" ht="16.2" x14ac:dyDescent="0.25">
      <c r="A50" s="57" t="s">
        <v>155</v>
      </c>
      <c r="B50" s="55">
        <v>3</v>
      </c>
      <c r="C50" s="52"/>
      <c r="D50" s="52">
        <v>2</v>
      </c>
      <c r="E50" s="52">
        <v>1</v>
      </c>
      <c r="F50" s="52">
        <v>5</v>
      </c>
      <c r="G50" s="58"/>
      <c r="H50" s="52"/>
      <c r="I50" s="52"/>
      <c r="J50" s="52"/>
      <c r="K50" s="52">
        <v>6</v>
      </c>
      <c r="L50" s="52">
        <v>6</v>
      </c>
      <c r="M50" s="52">
        <v>2</v>
      </c>
      <c r="N50" s="52">
        <f t="shared" si="1"/>
        <v>25</v>
      </c>
    </row>
    <row r="51" spans="1:14" ht="16.2" x14ac:dyDescent="0.25">
      <c r="A51" s="56" t="s">
        <v>77</v>
      </c>
      <c r="B51" s="58">
        <v>19</v>
      </c>
      <c r="C51" s="52">
        <v>18</v>
      </c>
      <c r="D51" s="52">
        <v>21</v>
      </c>
      <c r="E51" s="52">
        <v>16</v>
      </c>
      <c r="F51" s="52">
        <v>21</v>
      </c>
      <c r="G51" s="52">
        <v>10</v>
      </c>
      <c r="H51" s="52"/>
      <c r="I51" s="52"/>
      <c r="J51" s="52">
        <v>16</v>
      </c>
      <c r="K51" s="52">
        <v>22</v>
      </c>
      <c r="L51" s="52">
        <v>19</v>
      </c>
      <c r="M51" s="52">
        <v>13</v>
      </c>
      <c r="N51" s="58">
        <f t="shared" si="1"/>
        <v>175</v>
      </c>
    </row>
    <row r="52" spans="1:14" ht="16.2" x14ac:dyDescent="0.25">
      <c r="A52" s="59" t="s">
        <v>26</v>
      </c>
      <c r="B52" s="58">
        <v>714</v>
      </c>
      <c r="C52" s="52">
        <v>644</v>
      </c>
      <c r="D52" s="52">
        <v>704</v>
      </c>
      <c r="E52" s="52">
        <v>692</v>
      </c>
      <c r="F52" s="52">
        <v>729</v>
      </c>
      <c r="G52" s="52">
        <v>727</v>
      </c>
      <c r="H52" s="52">
        <v>758</v>
      </c>
      <c r="I52" s="52">
        <v>760</v>
      </c>
      <c r="J52" s="52">
        <v>695</v>
      </c>
      <c r="K52" s="52">
        <v>705</v>
      </c>
      <c r="L52" s="52">
        <v>686</v>
      </c>
      <c r="M52" s="52">
        <v>702</v>
      </c>
      <c r="N52" s="58">
        <f t="shared" si="1"/>
        <v>8516</v>
      </c>
    </row>
    <row r="53" spans="1:14" ht="16.2" x14ac:dyDescent="0.25">
      <c r="A53" s="56" t="s">
        <v>158</v>
      </c>
      <c r="B53">
        <f t="shared" ref="B53:N53" si="2">SUM(B4:B52)</f>
        <v>14307</v>
      </c>
      <c r="C53">
        <f t="shared" si="2"/>
        <v>12505</v>
      </c>
      <c r="D53">
        <f t="shared" si="2"/>
        <v>15878</v>
      </c>
      <c r="E53">
        <f t="shared" si="2"/>
        <v>16970</v>
      </c>
      <c r="F53">
        <f t="shared" si="2"/>
        <v>21430</v>
      </c>
      <c r="G53">
        <f t="shared" si="2"/>
        <v>20577</v>
      </c>
      <c r="H53">
        <f t="shared" si="2"/>
        <v>34050</v>
      </c>
      <c r="I53">
        <f t="shared" si="2"/>
        <v>19088</v>
      </c>
      <c r="J53">
        <f t="shared" si="2"/>
        <v>15615</v>
      </c>
      <c r="K53">
        <f t="shared" si="2"/>
        <v>14342</v>
      </c>
      <c r="L53">
        <f t="shared" si="2"/>
        <v>14087</v>
      </c>
      <c r="M53">
        <f t="shared" si="2"/>
        <v>14047</v>
      </c>
      <c r="N53">
        <f t="shared" si="2"/>
        <v>212896</v>
      </c>
    </row>
    <row r="55" spans="1:14" ht="16.2" x14ac:dyDescent="0.25">
      <c r="A55" s="39" t="s">
        <v>86</v>
      </c>
      <c r="B55" s="40">
        <f t="shared" ref="B55:D55" si="3">+B4+B8+B5+B6</f>
        <v>4000</v>
      </c>
      <c r="C55" s="40">
        <f t="shared" si="3"/>
        <v>3430</v>
      </c>
      <c r="D55" s="40">
        <f t="shared" si="3"/>
        <v>4190</v>
      </c>
      <c r="E55" s="40">
        <f>+E4+E8+E5+E6</f>
        <v>4200</v>
      </c>
      <c r="F55" s="40">
        <f t="shared" ref="F55:N55" si="4">+F4+F8+F5+F6</f>
        <v>4730</v>
      </c>
      <c r="G55" s="40">
        <f t="shared" si="4"/>
        <v>4380</v>
      </c>
      <c r="H55" s="40">
        <f t="shared" si="4"/>
        <v>6650</v>
      </c>
      <c r="I55" s="40">
        <f t="shared" si="4"/>
        <v>2310</v>
      </c>
      <c r="J55" s="40">
        <f t="shared" si="4"/>
        <v>3060</v>
      </c>
      <c r="K55" s="40">
        <f t="shared" si="4"/>
        <v>3210</v>
      </c>
      <c r="L55" s="40">
        <f t="shared" si="4"/>
        <v>3420</v>
      </c>
      <c r="M55" s="40">
        <f t="shared" si="4"/>
        <v>3540</v>
      </c>
      <c r="N55" s="40">
        <f t="shared" si="4"/>
        <v>47120</v>
      </c>
    </row>
    <row r="56" spans="1:14" ht="16.2" x14ac:dyDescent="0.25">
      <c r="A56" s="39" t="s">
        <v>157</v>
      </c>
      <c r="B56" s="40">
        <f>+B12+B30</f>
        <v>3825</v>
      </c>
      <c r="C56" s="40">
        <f t="shared" ref="C56:M56" si="5">+C12+C30</f>
        <v>3075</v>
      </c>
      <c r="D56" s="40">
        <f t="shared" si="5"/>
        <v>3675</v>
      </c>
      <c r="E56" s="40">
        <f t="shared" si="5"/>
        <v>4400</v>
      </c>
      <c r="F56" s="40">
        <f t="shared" si="5"/>
        <v>6100</v>
      </c>
      <c r="G56" s="40">
        <f t="shared" si="5"/>
        <v>5175</v>
      </c>
      <c r="H56" s="40">
        <f t="shared" si="5"/>
        <v>12775</v>
      </c>
      <c r="I56" s="40">
        <f t="shared" si="5"/>
        <v>3225</v>
      </c>
      <c r="J56" s="40">
        <f t="shared" si="5"/>
        <v>3350</v>
      </c>
      <c r="K56" s="40">
        <f t="shared" si="5"/>
        <v>3900</v>
      </c>
      <c r="L56" s="40">
        <f t="shared" si="5"/>
        <v>3575</v>
      </c>
      <c r="M56" s="40">
        <f t="shared" si="5"/>
        <v>3600</v>
      </c>
      <c r="N56" s="40">
        <f>+N12+N30</f>
        <v>56675</v>
      </c>
    </row>
    <row r="57" spans="1:14" ht="16.2" x14ac:dyDescent="0.25">
      <c r="A57" s="33" t="s">
        <v>50</v>
      </c>
      <c r="B57" s="40">
        <f>+B4+B7+B8+B9+B15+B16+B19+B20+B23+B24+B27+B28+B33+B34+B35+B36+B37+B38+B39+B40+B41+B42+B43+B44+B45+B46+B47+B48+B49+B50</f>
        <v>5504</v>
      </c>
      <c r="C57" s="40">
        <f t="shared" ref="C57:H57" si="6">+C4+C7+C8+C9+C15+C16+C19+C20+C23+C24+C27+C28+C33+C34+C35+C36+C37+C38+C39+C40+C41+C42+C43+C44+C45+C46+C47+C48+C49+C50</f>
        <v>4793</v>
      </c>
      <c r="D57" s="40">
        <f t="shared" si="6"/>
        <v>6504</v>
      </c>
      <c r="E57" s="40">
        <f t="shared" si="6"/>
        <v>6646</v>
      </c>
      <c r="F57" s="40">
        <f t="shared" si="6"/>
        <v>7519</v>
      </c>
      <c r="G57" s="40">
        <f t="shared" si="6"/>
        <v>7145</v>
      </c>
      <c r="H57" s="40">
        <f t="shared" si="6"/>
        <v>9740</v>
      </c>
      <c r="I57" s="40">
        <f>+I4+I7+I8+I9+I15+I16+I19+I20+I23+I24+I27+I28+I33+I34+I35+I36+I37+I38+I39+I40+I41+I42+I43+I44+I45+I46+I47+I48+I49+I50+I17</f>
        <v>6606</v>
      </c>
      <c r="J57" s="40">
        <f t="shared" ref="J57:N57" si="7">+J4+J7+J8+J9+J15+J16+J19+J20+J23+J24+J27+J28+J33+J34+J35+J36+J37+J38+J39+J40+J41+J42+J43+J44+J45+J46+J47+J48+J49+J50+J17</f>
        <v>5768</v>
      </c>
      <c r="K57" s="40">
        <f t="shared" si="7"/>
        <v>4747</v>
      </c>
      <c r="L57" s="40">
        <f t="shared" si="7"/>
        <v>5380</v>
      </c>
      <c r="M57" s="40">
        <f t="shared" si="7"/>
        <v>5437</v>
      </c>
      <c r="N57" s="40">
        <f t="shared" si="7"/>
        <v>75792</v>
      </c>
    </row>
    <row r="58" spans="1:14" ht="16.2" x14ac:dyDescent="0.25">
      <c r="A58" s="33" t="s">
        <v>28</v>
      </c>
      <c r="B58" s="40">
        <f>SUM(B4:B50)-B22-B29-B21</f>
        <v>13553</v>
      </c>
      <c r="C58" s="40">
        <f t="shared" ref="C58:M58" si="8">SUM(C4:C50)-C22-C29-C21</f>
        <v>11825</v>
      </c>
      <c r="D58" s="40">
        <f t="shared" si="8"/>
        <v>15130</v>
      </c>
      <c r="E58" s="40">
        <f t="shared" si="8"/>
        <v>16246</v>
      </c>
      <c r="F58" s="40">
        <f t="shared" si="8"/>
        <v>20653</v>
      </c>
      <c r="G58" s="40">
        <f t="shared" si="8"/>
        <v>19829</v>
      </c>
      <c r="H58" s="40">
        <f t="shared" si="8"/>
        <v>33288</v>
      </c>
      <c r="I58" s="40">
        <f t="shared" si="8"/>
        <v>18327</v>
      </c>
      <c r="J58" s="40">
        <f t="shared" si="8"/>
        <v>14881</v>
      </c>
      <c r="K58" s="40">
        <f t="shared" si="8"/>
        <v>13586</v>
      </c>
      <c r="L58" s="40">
        <f t="shared" si="8"/>
        <v>13356</v>
      </c>
      <c r="M58" s="40">
        <f t="shared" si="8"/>
        <v>13317</v>
      </c>
      <c r="N58" s="40">
        <f>SUM(N4:N50)-N22-N29-N21</f>
        <v>203991</v>
      </c>
    </row>
    <row r="59" spans="1:14" ht="16.2" x14ac:dyDescent="0.25">
      <c r="A59" s="33" t="s">
        <v>46</v>
      </c>
      <c r="B59" s="40">
        <f>SUM(B4:B50)-B22-B29-B51-B52-B21</f>
        <v>12820</v>
      </c>
      <c r="C59" s="40">
        <f t="shared" ref="C59:M59" si="9">SUM(C4:C50)-C22-C29-C51-C52-C21</f>
        <v>11163</v>
      </c>
      <c r="D59" s="40">
        <f t="shared" si="9"/>
        <v>14405</v>
      </c>
      <c r="E59" s="40">
        <f t="shared" si="9"/>
        <v>15538</v>
      </c>
      <c r="F59" s="40">
        <f t="shared" si="9"/>
        <v>19903</v>
      </c>
      <c r="G59" s="40">
        <f t="shared" si="9"/>
        <v>19092</v>
      </c>
      <c r="H59" s="40">
        <f t="shared" si="9"/>
        <v>32530</v>
      </c>
      <c r="I59" s="40">
        <f t="shared" si="9"/>
        <v>17567</v>
      </c>
      <c r="J59" s="40">
        <f t="shared" si="9"/>
        <v>14170</v>
      </c>
      <c r="K59" s="40">
        <f t="shared" si="9"/>
        <v>12859</v>
      </c>
      <c r="L59" s="40">
        <f t="shared" si="9"/>
        <v>12651</v>
      </c>
      <c r="M59" s="40">
        <f t="shared" si="9"/>
        <v>12602</v>
      </c>
      <c r="N59" s="40">
        <f>SUM(N4:N50)-N22-N29-N51-N52-N21</f>
        <v>195300</v>
      </c>
    </row>
    <row r="60" spans="1:14" ht="16.2" x14ac:dyDescent="0.25">
      <c r="A60" s="33" t="s">
        <v>52</v>
      </c>
      <c r="B60" s="40">
        <f>+B10+B11+B12+B13+B14+B25+B26+B31+B32</f>
        <v>4269</v>
      </c>
      <c r="C60" s="40">
        <f t="shared" ref="C60:M60" si="10">+C10+C11+C12+C13+C14+C25+C26+C31+C32</f>
        <v>3711</v>
      </c>
      <c r="D60" s="40">
        <f t="shared" si="10"/>
        <v>4952</v>
      </c>
      <c r="E60" s="40">
        <f t="shared" si="10"/>
        <v>5807</v>
      </c>
      <c r="F60" s="40">
        <f t="shared" si="10"/>
        <v>7969</v>
      </c>
      <c r="G60" s="40">
        <f t="shared" si="10"/>
        <v>7885</v>
      </c>
      <c r="H60" s="40">
        <f t="shared" si="10"/>
        <v>14174</v>
      </c>
      <c r="I60" s="40">
        <f t="shared" si="10"/>
        <v>9279</v>
      </c>
      <c r="J60" s="40">
        <f t="shared" si="10"/>
        <v>6284</v>
      </c>
      <c r="K60" s="40">
        <f t="shared" si="10"/>
        <v>5428</v>
      </c>
      <c r="L60" s="40">
        <f t="shared" si="10"/>
        <v>4770</v>
      </c>
      <c r="M60" s="40">
        <f t="shared" si="10"/>
        <v>4739</v>
      </c>
      <c r="N60" s="40">
        <f>+N10+N11+N12+N13+N14+N25+N26+N31+N32</f>
        <v>79267</v>
      </c>
    </row>
    <row r="61" spans="1:14" ht="16.2" x14ac:dyDescent="0.25">
      <c r="A61" s="36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5" spans="1:14" ht="16.2" x14ac:dyDescent="0.25">
      <c r="A65" s="39" t="s">
        <v>179</v>
      </c>
      <c r="B65" s="40">
        <f>+B4+B7+B8+B9+B5+B6</f>
        <v>4000</v>
      </c>
      <c r="C65" s="40">
        <f t="shared" ref="C65:N65" si="11">+C4+C7+C8+C9+C5+C6</f>
        <v>3430</v>
      </c>
      <c r="D65" s="40">
        <f t="shared" si="11"/>
        <v>4190</v>
      </c>
      <c r="E65" s="40">
        <f t="shared" si="11"/>
        <v>4200</v>
      </c>
      <c r="F65" s="40">
        <f t="shared" si="11"/>
        <v>4750</v>
      </c>
      <c r="G65" s="40">
        <f t="shared" si="11"/>
        <v>4400</v>
      </c>
      <c r="H65" s="40">
        <f t="shared" si="11"/>
        <v>6770</v>
      </c>
      <c r="I65" s="40">
        <f t="shared" si="11"/>
        <v>2330</v>
      </c>
      <c r="J65" s="40">
        <f t="shared" si="11"/>
        <v>3060</v>
      </c>
      <c r="K65" s="40">
        <f t="shared" si="11"/>
        <v>3210</v>
      </c>
      <c r="L65" s="40">
        <f t="shared" si="11"/>
        <v>3420</v>
      </c>
      <c r="M65" s="40">
        <f t="shared" si="11"/>
        <v>3540</v>
      </c>
      <c r="N65" s="40">
        <f t="shared" si="11"/>
        <v>47300</v>
      </c>
    </row>
    <row r="66" spans="1:14" ht="16.2" x14ac:dyDescent="0.25">
      <c r="A66" s="39" t="s">
        <v>177</v>
      </c>
      <c r="B66" s="40">
        <f>+B15+B16+B23+B24</f>
        <v>2860</v>
      </c>
      <c r="C66" s="40">
        <f t="shared" ref="C66:N66" si="12">+C15+C16+C23+C24</f>
        <v>2713</v>
      </c>
      <c r="D66" s="40">
        <f t="shared" si="12"/>
        <v>3626</v>
      </c>
      <c r="E66" s="40">
        <f t="shared" si="12"/>
        <v>3648</v>
      </c>
      <c r="F66" s="40">
        <f t="shared" si="12"/>
        <v>4174</v>
      </c>
      <c r="G66" s="40">
        <f t="shared" si="12"/>
        <v>4171</v>
      </c>
      <c r="H66" s="40">
        <f t="shared" si="12"/>
        <v>5093</v>
      </c>
      <c r="I66" s="40">
        <f t="shared" si="12"/>
        <v>4596</v>
      </c>
      <c r="J66" s="40">
        <f t="shared" si="12"/>
        <v>3391</v>
      </c>
      <c r="K66" s="40">
        <f t="shared" si="12"/>
        <v>2541</v>
      </c>
      <c r="L66" s="40">
        <f t="shared" si="12"/>
        <v>2957</v>
      </c>
      <c r="M66" s="40">
        <f t="shared" si="12"/>
        <v>2900</v>
      </c>
      <c r="N66" s="40">
        <f t="shared" si="12"/>
        <v>42670</v>
      </c>
    </row>
    <row r="67" spans="1:14" ht="16.2" x14ac:dyDescent="0.25">
      <c r="A67" s="33" t="s">
        <v>178</v>
      </c>
      <c r="B67" s="40">
        <f>+B19+B20+B27+B28</f>
        <v>2</v>
      </c>
      <c r="C67" s="40">
        <f t="shared" ref="C67:N67" si="13">+C19+C20+C27+C28</f>
        <v>3</v>
      </c>
      <c r="D67" s="40">
        <f t="shared" si="13"/>
        <v>13</v>
      </c>
      <c r="E67" s="40">
        <f t="shared" si="13"/>
        <v>8</v>
      </c>
      <c r="F67" s="40">
        <f t="shared" si="13"/>
        <v>38</v>
      </c>
      <c r="G67" s="40">
        <f t="shared" si="13"/>
        <v>34</v>
      </c>
      <c r="H67" s="40">
        <f t="shared" si="13"/>
        <v>73</v>
      </c>
      <c r="I67" s="40">
        <f t="shared" si="13"/>
        <v>49</v>
      </c>
      <c r="J67" s="40">
        <f t="shared" si="13"/>
        <v>46</v>
      </c>
      <c r="K67" s="40">
        <f t="shared" si="13"/>
        <v>18</v>
      </c>
      <c r="L67" s="40">
        <f t="shared" si="13"/>
        <v>3</v>
      </c>
      <c r="M67" s="40">
        <f t="shared" si="13"/>
        <v>5</v>
      </c>
      <c r="N67" s="40">
        <f t="shared" si="13"/>
        <v>292</v>
      </c>
    </row>
    <row r="68" spans="1:14" ht="16.2" x14ac:dyDescent="0.25">
      <c r="A68" s="33" t="s">
        <v>180</v>
      </c>
      <c r="B68" s="40">
        <f>+B33+B34+B35+B36+B37+B38+B39+B40+B41+B42+B43+B44+B45+B46+B47+B48+B49+B50</f>
        <v>522</v>
      </c>
      <c r="C68" s="40">
        <f t="shared" ref="C68:H68" si="14">+C33+C34+C35+C36+C37+C38+C39+C40+C41+C42+C43+C44+C45+C46+C47+C48+C49+C50</f>
        <v>417</v>
      </c>
      <c r="D68" s="40">
        <f t="shared" si="14"/>
        <v>495</v>
      </c>
      <c r="E68" s="40">
        <f t="shared" si="14"/>
        <v>530</v>
      </c>
      <c r="F68" s="40">
        <f t="shared" si="14"/>
        <v>597</v>
      </c>
      <c r="G68" s="40">
        <f t="shared" si="14"/>
        <v>610</v>
      </c>
      <c r="H68" s="40">
        <f t="shared" si="14"/>
        <v>574</v>
      </c>
      <c r="I68" s="40">
        <f>+I33+I34+I35+I36+I37+I38+I39+I40+I41+I42+I43+I44+I45+I46+I47+I48+I49+I50+I17</f>
        <v>521</v>
      </c>
      <c r="J68" s="40">
        <f t="shared" ref="J68:N68" si="15">+J33+J34+J35+J36+J37+J38+J39+J40+J41+J42+J43+J44+J45+J46+J47+J48+J49+J50+J17</f>
        <v>471</v>
      </c>
      <c r="K68" s="40">
        <f t="shared" si="15"/>
        <v>488</v>
      </c>
      <c r="L68" s="40">
        <f t="shared" si="15"/>
        <v>430</v>
      </c>
      <c r="M68" s="40">
        <f t="shared" si="15"/>
        <v>332</v>
      </c>
      <c r="N68" s="40">
        <f t="shared" si="15"/>
        <v>5990</v>
      </c>
    </row>
    <row r="69" spans="1:14" ht="16.2" x14ac:dyDescent="0.25">
      <c r="A69" s="33" t="s">
        <v>157</v>
      </c>
      <c r="B69" s="40">
        <f>+B12+B30</f>
        <v>3825</v>
      </c>
      <c r="C69" s="40">
        <f t="shared" ref="C69:N69" si="16">+C12+C30</f>
        <v>3075</v>
      </c>
      <c r="D69" s="40">
        <f t="shared" si="16"/>
        <v>3675</v>
      </c>
      <c r="E69" s="40">
        <f t="shared" si="16"/>
        <v>4400</v>
      </c>
      <c r="F69" s="40">
        <f t="shared" si="16"/>
        <v>6100</v>
      </c>
      <c r="G69" s="40">
        <f t="shared" si="16"/>
        <v>5175</v>
      </c>
      <c r="H69" s="40">
        <f t="shared" si="16"/>
        <v>12775</v>
      </c>
      <c r="I69" s="40">
        <f t="shared" si="16"/>
        <v>3225</v>
      </c>
      <c r="J69" s="40">
        <f t="shared" si="16"/>
        <v>3350</v>
      </c>
      <c r="K69" s="40">
        <f t="shared" si="16"/>
        <v>3900</v>
      </c>
      <c r="L69" s="40">
        <f t="shared" si="16"/>
        <v>3575</v>
      </c>
      <c r="M69" s="40">
        <f t="shared" si="16"/>
        <v>3600</v>
      </c>
      <c r="N69" s="40">
        <f t="shared" si="16"/>
        <v>56675</v>
      </c>
    </row>
    <row r="70" spans="1:14" ht="16.2" x14ac:dyDescent="0.25">
      <c r="A70" s="33" t="s">
        <v>181</v>
      </c>
      <c r="B70" s="40">
        <f>+B13+B14+B25+B26</f>
        <v>2301</v>
      </c>
      <c r="C70" s="40">
        <f t="shared" ref="C70:N70" si="17">+C13+C14+C25+C26</f>
        <v>2153</v>
      </c>
      <c r="D70" s="40">
        <f t="shared" si="17"/>
        <v>3042</v>
      </c>
      <c r="E70" s="40">
        <f t="shared" si="17"/>
        <v>3369</v>
      </c>
      <c r="F70" s="40">
        <f t="shared" si="17"/>
        <v>4645</v>
      </c>
      <c r="G70" s="40">
        <f t="shared" si="17"/>
        <v>5161</v>
      </c>
      <c r="H70" s="40">
        <f t="shared" si="17"/>
        <v>7604</v>
      </c>
      <c r="I70" s="40">
        <f t="shared" si="17"/>
        <v>7604</v>
      </c>
      <c r="J70" s="40">
        <f t="shared" si="17"/>
        <v>4559</v>
      </c>
      <c r="K70" s="40">
        <f t="shared" si="17"/>
        <v>3428</v>
      </c>
      <c r="L70" s="40">
        <f t="shared" si="17"/>
        <v>2970</v>
      </c>
      <c r="M70" s="40">
        <f t="shared" si="17"/>
        <v>2939</v>
      </c>
      <c r="N70" s="40">
        <f t="shared" si="17"/>
        <v>49775</v>
      </c>
    </row>
    <row r="71" spans="1:14" ht="16.2" x14ac:dyDescent="0.25">
      <c r="A71" s="33" t="s">
        <v>182</v>
      </c>
      <c r="B71" s="40">
        <f>+B10+B11+B31+B32</f>
        <v>43</v>
      </c>
      <c r="C71" s="40">
        <f t="shared" ref="C71:N71" si="18">+C10+C11+C31+C32</f>
        <v>33</v>
      </c>
      <c r="D71" s="40">
        <f t="shared" si="18"/>
        <v>85</v>
      </c>
      <c r="E71" s="40">
        <f t="shared" si="18"/>
        <v>88</v>
      </c>
      <c r="F71" s="40">
        <f t="shared" si="18"/>
        <v>349</v>
      </c>
      <c r="G71" s="40">
        <f t="shared" si="18"/>
        <v>274</v>
      </c>
      <c r="H71" s="40">
        <f t="shared" si="18"/>
        <v>395</v>
      </c>
      <c r="I71" s="40">
        <f t="shared" si="18"/>
        <v>0</v>
      </c>
      <c r="J71" s="40">
        <f t="shared" si="18"/>
        <v>0</v>
      </c>
      <c r="K71" s="40">
        <f t="shared" si="18"/>
        <v>0</v>
      </c>
      <c r="L71" s="40">
        <f t="shared" si="18"/>
        <v>0</v>
      </c>
      <c r="M71" s="40">
        <f t="shared" si="18"/>
        <v>0</v>
      </c>
      <c r="N71" s="40">
        <f t="shared" si="18"/>
        <v>1267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1"/>
  <sheetViews>
    <sheetView workbookViewId="0">
      <pane xSplit="1" ySplit="3" topLeftCell="J4" activePane="bottomRight" state="frozen"/>
      <selection pane="topRight" activeCell="B1" sqref="B1"/>
      <selection pane="bottomLeft" activeCell="A4" sqref="A4"/>
      <selection pane="bottomRight" activeCell="M53" sqref="M53"/>
    </sheetView>
  </sheetViews>
  <sheetFormatPr defaultRowHeight="15" x14ac:dyDescent="0.25"/>
  <cols>
    <col min="1" max="1" width="27" customWidth="1"/>
  </cols>
  <sheetData>
    <row r="1" spans="1:14" ht="18.600000000000001" x14ac:dyDescent="0.25">
      <c r="A1" s="48" t="s">
        <v>196</v>
      </c>
    </row>
    <row r="2" spans="1:14" x14ac:dyDescent="0.25">
      <c r="A2" s="49"/>
    </row>
    <row r="3" spans="1:14" ht="16.8" x14ac:dyDescent="0.25">
      <c r="A3" s="49"/>
      <c r="B3" s="47" t="s">
        <v>29</v>
      </c>
      <c r="C3" s="34" t="s">
        <v>30</v>
      </c>
      <c r="D3" s="34" t="s">
        <v>31</v>
      </c>
      <c r="E3" s="34" t="s">
        <v>32</v>
      </c>
      <c r="F3" s="34" t="s">
        <v>33</v>
      </c>
      <c r="G3" s="34" t="s">
        <v>34</v>
      </c>
      <c r="H3" s="34" t="s">
        <v>35</v>
      </c>
      <c r="I3" s="34" t="s">
        <v>36</v>
      </c>
      <c r="J3" s="34" t="s">
        <v>37</v>
      </c>
      <c r="K3" s="34" t="s">
        <v>38</v>
      </c>
      <c r="L3" s="34" t="s">
        <v>39</v>
      </c>
      <c r="M3" s="34" t="s">
        <v>40</v>
      </c>
      <c r="N3" s="35" t="s">
        <v>41</v>
      </c>
    </row>
    <row r="4" spans="1:14" ht="16.2" x14ac:dyDescent="0.25">
      <c r="A4" s="50" t="s">
        <v>190</v>
      </c>
      <c r="B4" s="52">
        <v>50</v>
      </c>
      <c r="C4" s="52">
        <v>60</v>
      </c>
      <c r="D4" s="52"/>
      <c r="E4" s="52">
        <v>20</v>
      </c>
      <c r="F4" s="52">
        <v>30</v>
      </c>
      <c r="G4" s="58">
        <v>90</v>
      </c>
      <c r="H4" s="52">
        <v>50</v>
      </c>
      <c r="I4" s="52">
        <v>10</v>
      </c>
      <c r="J4" s="52"/>
      <c r="K4" s="52">
        <v>70</v>
      </c>
      <c r="L4" s="52">
        <v>40</v>
      </c>
      <c r="M4" s="52">
        <v>20</v>
      </c>
      <c r="N4" s="52">
        <f>SUM(B4:M4)</f>
        <v>440</v>
      </c>
    </row>
    <row r="5" spans="1:14" ht="16.2" x14ac:dyDescent="0.25">
      <c r="A5" s="50" t="s">
        <v>191</v>
      </c>
      <c r="B5" s="52">
        <v>40</v>
      </c>
      <c r="C5" s="52">
        <v>30</v>
      </c>
      <c r="D5" s="52"/>
      <c r="E5" s="52">
        <v>10</v>
      </c>
      <c r="F5" s="52">
        <v>40</v>
      </c>
      <c r="G5" s="58">
        <v>30</v>
      </c>
      <c r="H5" s="52">
        <v>40</v>
      </c>
      <c r="I5" s="52">
        <v>20</v>
      </c>
      <c r="J5" s="52"/>
      <c r="K5" s="52">
        <v>50</v>
      </c>
      <c r="L5" s="52"/>
      <c r="M5" s="52">
        <v>20</v>
      </c>
      <c r="N5" s="52">
        <f t="shared" ref="N5:N6" si="0">SUM(B5:M5)</f>
        <v>280</v>
      </c>
    </row>
    <row r="6" spans="1:14" ht="16.2" x14ac:dyDescent="0.25">
      <c r="A6" s="50" t="s">
        <v>186</v>
      </c>
      <c r="B6" s="52">
        <v>1940</v>
      </c>
      <c r="C6" s="52">
        <v>880</v>
      </c>
      <c r="D6" s="52"/>
      <c r="E6" s="52">
        <v>1580</v>
      </c>
      <c r="F6" s="52">
        <v>2040</v>
      </c>
      <c r="G6" s="58">
        <v>2000</v>
      </c>
      <c r="H6" s="52">
        <v>1500</v>
      </c>
      <c r="I6" s="52">
        <v>1840</v>
      </c>
      <c r="J6" s="52">
        <v>1480</v>
      </c>
      <c r="K6" s="52">
        <v>1660</v>
      </c>
      <c r="L6" s="52">
        <v>1440</v>
      </c>
      <c r="M6" s="52">
        <v>1920</v>
      </c>
      <c r="N6" s="52">
        <f t="shared" si="0"/>
        <v>18280</v>
      </c>
    </row>
    <row r="7" spans="1:14" ht="16.2" x14ac:dyDescent="0.25">
      <c r="A7" s="50" t="s">
        <v>59</v>
      </c>
      <c r="B7" s="52"/>
      <c r="C7" s="52"/>
      <c r="D7" s="52"/>
      <c r="E7" s="52"/>
      <c r="F7" s="52">
        <v>20</v>
      </c>
      <c r="G7" s="58"/>
      <c r="H7" s="52"/>
      <c r="I7" s="52">
        <v>20</v>
      </c>
      <c r="J7" s="52"/>
      <c r="K7" s="52"/>
      <c r="L7" s="52"/>
      <c r="M7" s="52"/>
      <c r="N7" s="52">
        <f>SUM(B7:M7)</f>
        <v>40</v>
      </c>
    </row>
    <row r="8" spans="1:14" ht="16.2" x14ac:dyDescent="0.25">
      <c r="A8" s="50" t="s">
        <v>187</v>
      </c>
      <c r="B8" s="52">
        <v>1820</v>
      </c>
      <c r="C8" s="52">
        <v>1320</v>
      </c>
      <c r="D8" s="52"/>
      <c r="E8" s="52">
        <v>1960</v>
      </c>
      <c r="F8" s="52">
        <v>2460</v>
      </c>
      <c r="G8" s="58">
        <v>2280</v>
      </c>
      <c r="H8" s="52">
        <v>2260</v>
      </c>
      <c r="I8" s="52">
        <v>1880</v>
      </c>
      <c r="J8" s="52">
        <v>2240</v>
      </c>
      <c r="K8" s="52">
        <v>2120</v>
      </c>
      <c r="L8" s="52">
        <v>1740</v>
      </c>
      <c r="M8" s="52">
        <v>2020</v>
      </c>
      <c r="N8" s="52">
        <f>SUM(B8:M8)</f>
        <v>22100</v>
      </c>
    </row>
    <row r="9" spans="1:14" ht="16.2" x14ac:dyDescent="0.25">
      <c r="A9" s="50" t="s">
        <v>188</v>
      </c>
      <c r="B9" s="52"/>
      <c r="C9" s="52"/>
      <c r="D9" s="52"/>
      <c r="E9" s="52"/>
      <c r="F9" s="52"/>
      <c r="G9" s="58"/>
      <c r="H9" s="52"/>
      <c r="I9" s="52"/>
      <c r="J9" s="52"/>
      <c r="K9" s="52"/>
      <c r="L9" s="52"/>
      <c r="M9" s="52"/>
      <c r="N9" s="52">
        <f>SUM(B9:M9)</f>
        <v>0</v>
      </c>
    </row>
    <row r="10" spans="1:14" ht="16.2" x14ac:dyDescent="0.25">
      <c r="A10" s="50" t="s">
        <v>134</v>
      </c>
      <c r="B10" s="52"/>
      <c r="C10" s="52"/>
      <c r="D10" s="52"/>
      <c r="E10" s="52"/>
      <c r="F10" s="52">
        <v>157</v>
      </c>
      <c r="G10" s="58">
        <v>185</v>
      </c>
      <c r="H10" s="52">
        <v>327</v>
      </c>
      <c r="I10" s="52">
        <v>318</v>
      </c>
      <c r="J10" s="52">
        <v>158</v>
      </c>
      <c r="K10" s="52"/>
      <c r="L10" s="52"/>
      <c r="M10" s="52"/>
      <c r="N10" s="52">
        <f>SUM(B10:M10)</f>
        <v>1145</v>
      </c>
    </row>
    <row r="11" spans="1:14" ht="16.2" x14ac:dyDescent="0.25">
      <c r="A11" s="50" t="s">
        <v>135</v>
      </c>
      <c r="B11" s="52">
        <v>31</v>
      </c>
      <c r="C11" s="52">
        <v>27</v>
      </c>
      <c r="D11" s="52">
        <v>57</v>
      </c>
      <c r="E11" s="52">
        <v>125</v>
      </c>
      <c r="F11" s="52">
        <v>66</v>
      </c>
      <c r="G11" s="58"/>
      <c r="H11" s="52"/>
      <c r="I11" s="52"/>
      <c r="J11" s="52"/>
      <c r="K11" s="52">
        <v>91</v>
      </c>
      <c r="L11" s="52">
        <v>33</v>
      </c>
      <c r="M11" s="52">
        <v>13</v>
      </c>
      <c r="N11" s="52">
        <f t="shared" ref="N11:N52" si="1">SUM(B11:M11)</f>
        <v>443</v>
      </c>
    </row>
    <row r="12" spans="1:14" ht="16.2" x14ac:dyDescent="0.25">
      <c r="A12" s="50" t="s">
        <v>60</v>
      </c>
      <c r="B12" s="52">
        <v>2125</v>
      </c>
      <c r="C12" s="52">
        <v>2325</v>
      </c>
      <c r="D12" s="52">
        <v>3500</v>
      </c>
      <c r="E12" s="52">
        <v>2700</v>
      </c>
      <c r="F12" s="52">
        <v>2425</v>
      </c>
      <c r="G12" s="58">
        <v>2825</v>
      </c>
      <c r="H12" s="52">
        <v>2525</v>
      </c>
      <c r="I12" s="52">
        <v>2650</v>
      </c>
      <c r="J12" s="52">
        <v>2475</v>
      </c>
      <c r="K12" s="52">
        <v>2300</v>
      </c>
      <c r="L12" s="52">
        <v>1825</v>
      </c>
      <c r="M12" s="52">
        <v>1950</v>
      </c>
      <c r="N12" s="52">
        <f t="shared" si="1"/>
        <v>29625</v>
      </c>
    </row>
    <row r="13" spans="1:14" ht="16.2" x14ac:dyDescent="0.25">
      <c r="A13" s="50" t="s">
        <v>111</v>
      </c>
      <c r="B13" s="52"/>
      <c r="C13" s="52"/>
      <c r="D13" s="52"/>
      <c r="E13" s="52"/>
      <c r="F13" s="52">
        <v>1403</v>
      </c>
      <c r="G13" s="58">
        <v>2944</v>
      </c>
      <c r="H13" s="52">
        <v>4408</v>
      </c>
      <c r="I13" s="52">
        <v>4266</v>
      </c>
      <c r="J13" s="52">
        <v>3061</v>
      </c>
      <c r="K13" s="52"/>
      <c r="L13" s="52"/>
      <c r="M13" s="52"/>
      <c r="N13" s="52">
        <f t="shared" si="1"/>
        <v>16082</v>
      </c>
    </row>
    <row r="14" spans="1:14" ht="16.2" x14ac:dyDescent="0.25">
      <c r="A14" s="50" t="s">
        <v>136</v>
      </c>
      <c r="B14" s="52">
        <v>1601</v>
      </c>
      <c r="C14" s="52">
        <v>1598</v>
      </c>
      <c r="D14" s="52">
        <v>2413</v>
      </c>
      <c r="E14" s="52">
        <v>2455</v>
      </c>
      <c r="F14" s="52">
        <v>1343</v>
      </c>
      <c r="G14" s="58"/>
      <c r="H14" s="52"/>
      <c r="I14" s="52"/>
      <c r="J14" s="52"/>
      <c r="K14" s="52">
        <v>2033</v>
      </c>
      <c r="L14" s="52">
        <v>1901</v>
      </c>
      <c r="M14" s="52">
        <v>2174</v>
      </c>
      <c r="N14" s="52">
        <f t="shared" si="1"/>
        <v>15518</v>
      </c>
    </row>
    <row r="15" spans="1:14" ht="16.2" x14ac:dyDescent="0.25">
      <c r="A15" s="50" t="s">
        <v>127</v>
      </c>
      <c r="B15" s="52"/>
      <c r="C15" s="52"/>
      <c r="D15" s="52"/>
      <c r="E15" s="52"/>
      <c r="F15" s="52">
        <v>1250</v>
      </c>
      <c r="G15" s="58">
        <v>3012</v>
      </c>
      <c r="H15" s="52">
        <v>3800</v>
      </c>
      <c r="I15" s="52">
        <v>3648</v>
      </c>
      <c r="J15" s="52">
        <v>2931</v>
      </c>
      <c r="K15" s="52"/>
      <c r="L15" s="52"/>
      <c r="M15" s="52"/>
      <c r="N15" s="52">
        <f t="shared" si="1"/>
        <v>14641</v>
      </c>
    </row>
    <row r="16" spans="1:14" ht="16.2" x14ac:dyDescent="0.25">
      <c r="A16" s="50" t="s">
        <v>137</v>
      </c>
      <c r="B16" s="52">
        <v>2117</v>
      </c>
      <c r="C16" s="52">
        <v>2196</v>
      </c>
      <c r="D16" s="52"/>
      <c r="E16" s="52">
        <v>2369</v>
      </c>
      <c r="F16" s="52">
        <v>1704</v>
      </c>
      <c r="G16" s="58"/>
      <c r="H16" s="52"/>
      <c r="I16" s="52"/>
      <c r="J16" s="52"/>
      <c r="K16" s="52">
        <v>2332</v>
      </c>
      <c r="L16" s="52">
        <v>2338</v>
      </c>
      <c r="M16" s="52">
        <v>2644</v>
      </c>
      <c r="N16" s="52">
        <f t="shared" si="1"/>
        <v>15700</v>
      </c>
    </row>
    <row r="17" spans="1:14" ht="16.2" x14ac:dyDescent="0.25">
      <c r="A17" s="50" t="s">
        <v>8</v>
      </c>
      <c r="B17" s="52"/>
      <c r="C17" s="52"/>
      <c r="D17" s="52"/>
      <c r="E17" s="52"/>
      <c r="F17" s="52"/>
      <c r="G17" s="58"/>
      <c r="H17" s="52"/>
      <c r="I17" s="52"/>
      <c r="J17" s="52"/>
      <c r="K17" s="52"/>
      <c r="L17" s="52"/>
      <c r="M17" s="52"/>
      <c r="N17" s="52">
        <f t="shared" si="1"/>
        <v>0</v>
      </c>
    </row>
    <row r="18" spans="1:14" ht="16.2" x14ac:dyDescent="0.25">
      <c r="A18" s="50" t="s">
        <v>62</v>
      </c>
      <c r="B18" s="52"/>
      <c r="C18" s="52">
        <v>3</v>
      </c>
      <c r="D18" s="52">
        <v>3</v>
      </c>
      <c r="E18" s="52">
        <v>1</v>
      </c>
      <c r="F18" s="52">
        <v>3</v>
      </c>
      <c r="G18" s="58">
        <v>5</v>
      </c>
      <c r="H18" s="52">
        <v>1</v>
      </c>
      <c r="I18" s="52">
        <v>4</v>
      </c>
      <c r="J18" s="52">
        <v>3</v>
      </c>
      <c r="K18" s="52">
        <v>2</v>
      </c>
      <c r="L18" s="52">
        <v>1</v>
      </c>
      <c r="M18" s="52">
        <v>5</v>
      </c>
      <c r="N18" s="52">
        <f t="shared" si="1"/>
        <v>31</v>
      </c>
    </row>
    <row r="19" spans="1:14" ht="16.2" x14ac:dyDescent="0.25">
      <c r="A19" s="50" t="s">
        <v>138</v>
      </c>
      <c r="B19" s="52"/>
      <c r="C19" s="52"/>
      <c r="D19" s="52"/>
      <c r="E19" s="52"/>
      <c r="F19" s="52">
        <v>21</v>
      </c>
      <c r="G19" s="58">
        <v>48</v>
      </c>
      <c r="H19" s="52">
        <v>66</v>
      </c>
      <c r="I19" s="52">
        <v>67</v>
      </c>
      <c r="J19" s="52">
        <v>31</v>
      </c>
      <c r="K19" s="52"/>
      <c r="L19" s="52"/>
      <c r="M19" s="52"/>
      <c r="N19" s="52">
        <f t="shared" si="1"/>
        <v>233</v>
      </c>
    </row>
    <row r="20" spans="1:14" ht="16.2" x14ac:dyDescent="0.25">
      <c r="A20" s="50" t="s">
        <v>139</v>
      </c>
      <c r="B20" s="52">
        <v>1</v>
      </c>
      <c r="C20" s="52">
        <v>11</v>
      </c>
      <c r="D20" s="52">
        <v>2</v>
      </c>
      <c r="E20" s="52">
        <v>17</v>
      </c>
      <c r="F20" s="52">
        <v>11</v>
      </c>
      <c r="G20" s="58"/>
      <c r="H20" s="52"/>
      <c r="I20" s="52"/>
      <c r="J20" s="52"/>
      <c r="K20" s="52">
        <v>11</v>
      </c>
      <c r="L20" s="52"/>
      <c r="M20" s="52">
        <v>2</v>
      </c>
      <c r="N20" s="52">
        <f t="shared" si="1"/>
        <v>55</v>
      </c>
    </row>
    <row r="21" spans="1:14" ht="16.2" x14ac:dyDescent="0.25">
      <c r="A21" s="50" t="s">
        <v>11</v>
      </c>
      <c r="B21" s="52">
        <v>18</v>
      </c>
      <c r="C21" s="52">
        <v>18</v>
      </c>
      <c r="D21" s="52">
        <v>22</v>
      </c>
      <c r="E21" s="52">
        <v>15</v>
      </c>
      <c r="F21" s="52">
        <v>20</v>
      </c>
      <c r="G21" s="58">
        <v>16</v>
      </c>
      <c r="H21" s="52"/>
      <c r="I21" s="52">
        <v>3</v>
      </c>
      <c r="J21" s="52">
        <v>19</v>
      </c>
      <c r="K21" s="52">
        <v>21</v>
      </c>
      <c r="L21" s="52">
        <v>19</v>
      </c>
      <c r="M21" s="52">
        <v>13</v>
      </c>
      <c r="N21" s="52">
        <f>SUM(B21:M21)</f>
        <v>184</v>
      </c>
    </row>
    <row r="22" spans="1:14" ht="16.2" x14ac:dyDescent="0.25">
      <c r="A22" s="50" t="s">
        <v>12</v>
      </c>
      <c r="B22" s="52">
        <v>1</v>
      </c>
      <c r="C22" s="52"/>
      <c r="D22" s="52"/>
      <c r="E22" s="52"/>
      <c r="F22" s="52">
        <v>6</v>
      </c>
      <c r="G22" s="58">
        <v>3</v>
      </c>
      <c r="H22" s="65"/>
      <c r="I22" s="52">
        <v>13</v>
      </c>
      <c r="J22" s="52">
        <v>2</v>
      </c>
      <c r="K22" s="52">
        <v>3</v>
      </c>
      <c r="L22" s="52">
        <v>20</v>
      </c>
      <c r="M22" s="52"/>
      <c r="N22" s="52">
        <f t="shared" si="1"/>
        <v>48</v>
      </c>
    </row>
    <row r="23" spans="1:14" ht="16.2" x14ac:dyDescent="0.25">
      <c r="A23" s="50" t="s">
        <v>145</v>
      </c>
      <c r="B23" s="52"/>
      <c r="C23" s="52"/>
      <c r="D23" s="52"/>
      <c r="E23" s="52"/>
      <c r="F23" s="52">
        <v>458</v>
      </c>
      <c r="G23" s="58">
        <v>1122</v>
      </c>
      <c r="H23" s="52">
        <v>1361</v>
      </c>
      <c r="I23" s="52">
        <v>1233</v>
      </c>
      <c r="J23" s="52">
        <v>1007</v>
      </c>
      <c r="K23" s="52"/>
      <c r="L23" s="52"/>
      <c r="M23" s="52"/>
      <c r="N23" s="52">
        <f>SUM(B23:M23)</f>
        <v>5181</v>
      </c>
    </row>
    <row r="24" spans="1:14" ht="16.2" x14ac:dyDescent="0.25">
      <c r="A24" s="50" t="s">
        <v>146</v>
      </c>
      <c r="B24" s="52">
        <v>722</v>
      </c>
      <c r="C24" s="52">
        <v>753</v>
      </c>
      <c r="D24" s="52"/>
      <c r="E24" s="52">
        <v>851</v>
      </c>
      <c r="F24" s="52">
        <v>652</v>
      </c>
      <c r="G24" s="58"/>
      <c r="H24" s="52"/>
      <c r="I24" s="52"/>
      <c r="J24" s="52"/>
      <c r="K24" s="52">
        <v>861</v>
      </c>
      <c r="L24" s="52">
        <v>798</v>
      </c>
      <c r="M24" s="52">
        <v>794</v>
      </c>
      <c r="N24" s="52">
        <f>SUM(B24:M24)</f>
        <v>5431</v>
      </c>
    </row>
    <row r="25" spans="1:14" ht="16.2" x14ac:dyDescent="0.25">
      <c r="A25" s="50" t="s">
        <v>184</v>
      </c>
      <c r="B25" s="52"/>
      <c r="C25" s="52"/>
      <c r="D25" s="52"/>
      <c r="E25" s="52"/>
      <c r="F25" s="52">
        <v>660</v>
      </c>
      <c r="G25" s="58">
        <v>1484</v>
      </c>
      <c r="H25" s="52">
        <v>2814</v>
      </c>
      <c r="I25" s="52">
        <v>2568</v>
      </c>
      <c r="J25" s="52">
        <v>1466</v>
      </c>
      <c r="K25" s="52"/>
      <c r="L25" s="52"/>
      <c r="M25" s="52"/>
      <c r="N25" s="52">
        <f>SUM(B25:M25)</f>
        <v>8992</v>
      </c>
    </row>
    <row r="26" spans="1:14" ht="16.2" x14ac:dyDescent="0.25">
      <c r="A26" s="50" t="s">
        <v>183</v>
      </c>
      <c r="B26" s="52">
        <v>538</v>
      </c>
      <c r="C26" s="52">
        <v>690</v>
      </c>
      <c r="D26" s="52">
        <v>847</v>
      </c>
      <c r="E26" s="52">
        <v>1140</v>
      </c>
      <c r="F26" s="52">
        <v>599</v>
      </c>
      <c r="G26" s="58"/>
      <c r="H26" s="52"/>
      <c r="I26" s="52"/>
      <c r="J26" s="52"/>
      <c r="K26" s="52">
        <v>848</v>
      </c>
      <c r="L26" s="52">
        <v>737</v>
      </c>
      <c r="M26" s="52">
        <v>805</v>
      </c>
      <c r="N26" s="52">
        <f>SUM(B26:M26)</f>
        <v>6204</v>
      </c>
    </row>
    <row r="27" spans="1:14" ht="16.2" x14ac:dyDescent="0.25">
      <c r="A27" s="50" t="s">
        <v>140</v>
      </c>
      <c r="B27" s="52"/>
      <c r="C27" s="52"/>
      <c r="D27" s="52"/>
      <c r="E27" s="52"/>
      <c r="F27" s="52">
        <v>3</v>
      </c>
      <c r="G27" s="58">
        <v>6</v>
      </c>
      <c r="H27" s="52">
        <v>6</v>
      </c>
      <c r="I27" s="52">
        <v>8</v>
      </c>
      <c r="J27" s="52">
        <v>9</v>
      </c>
      <c r="K27" s="52"/>
      <c r="L27" s="52"/>
      <c r="M27" s="52"/>
      <c r="N27" s="52">
        <f t="shared" si="1"/>
        <v>32</v>
      </c>
    </row>
    <row r="28" spans="1:14" ht="16.2" x14ac:dyDescent="0.25">
      <c r="A28" s="50" t="s">
        <v>141</v>
      </c>
      <c r="B28" s="52"/>
      <c r="C28" s="52"/>
      <c r="D28" s="52"/>
      <c r="E28" s="52">
        <v>1</v>
      </c>
      <c r="F28" s="52">
        <v>2</v>
      </c>
      <c r="G28" s="58"/>
      <c r="H28" s="52"/>
      <c r="I28" s="52"/>
      <c r="J28" s="52"/>
      <c r="K28" s="52"/>
      <c r="L28" s="52"/>
      <c r="M28" s="52"/>
      <c r="N28" s="52">
        <f t="shared" si="1"/>
        <v>3</v>
      </c>
    </row>
    <row r="29" spans="1:14" ht="16.2" x14ac:dyDescent="0.25">
      <c r="A29" s="50" t="s">
        <v>91</v>
      </c>
      <c r="B29" s="52"/>
      <c r="C29" s="52"/>
      <c r="D29" s="52"/>
      <c r="E29" s="52"/>
      <c r="F29" s="52"/>
      <c r="G29" s="58"/>
      <c r="H29" s="52"/>
      <c r="I29" s="52"/>
      <c r="J29" s="52"/>
      <c r="K29" s="52"/>
      <c r="L29" s="52"/>
      <c r="M29" s="52"/>
      <c r="N29" s="52">
        <f>SUM(B29:M29)</f>
        <v>0</v>
      </c>
    </row>
    <row r="30" spans="1:14" ht="16.2" x14ac:dyDescent="0.25">
      <c r="A30" s="50" t="s">
        <v>15</v>
      </c>
      <c r="B30" s="52">
        <v>1250</v>
      </c>
      <c r="C30" s="52">
        <v>2000</v>
      </c>
      <c r="D30" s="52">
        <v>2775</v>
      </c>
      <c r="E30" s="52">
        <v>2025</v>
      </c>
      <c r="F30" s="52">
        <v>2425</v>
      </c>
      <c r="G30" s="58">
        <v>2550</v>
      </c>
      <c r="H30" s="52">
        <v>2900</v>
      </c>
      <c r="I30" s="52">
        <v>2525</v>
      </c>
      <c r="J30" s="52">
        <v>2100</v>
      </c>
      <c r="K30" s="52">
        <v>2100</v>
      </c>
      <c r="L30" s="52">
        <v>1750</v>
      </c>
      <c r="M30" s="52">
        <v>1750</v>
      </c>
      <c r="N30" s="52">
        <f>SUM(B30:M30)</f>
        <v>26150</v>
      </c>
    </row>
    <row r="31" spans="1:14" ht="16.2" x14ac:dyDescent="0.25">
      <c r="A31" s="50" t="s">
        <v>116</v>
      </c>
      <c r="B31" s="52"/>
      <c r="C31" s="52"/>
      <c r="D31" s="52"/>
      <c r="E31" s="52"/>
      <c r="F31" s="52">
        <v>54</v>
      </c>
      <c r="G31" s="58">
        <v>55</v>
      </c>
      <c r="H31" s="52">
        <v>150</v>
      </c>
      <c r="I31" s="52">
        <v>148</v>
      </c>
      <c r="J31" s="52">
        <v>61</v>
      </c>
      <c r="K31" s="52"/>
      <c r="L31" s="52"/>
      <c r="M31" s="52"/>
      <c r="N31" s="52">
        <f>SUM(B31:M31)</f>
        <v>468</v>
      </c>
    </row>
    <row r="32" spans="1:14" ht="16.2" x14ac:dyDescent="0.25">
      <c r="A32" s="50" t="s">
        <v>142</v>
      </c>
      <c r="B32" s="52">
        <v>3</v>
      </c>
      <c r="C32" s="52">
        <v>13</v>
      </c>
      <c r="D32" s="52">
        <v>12</v>
      </c>
      <c r="E32" s="52">
        <v>27</v>
      </c>
      <c r="F32" s="52">
        <v>15</v>
      </c>
      <c r="G32" s="58"/>
      <c r="H32" s="52"/>
      <c r="I32" s="52"/>
      <c r="J32" s="52"/>
      <c r="K32" s="52">
        <v>20</v>
      </c>
      <c r="L32" s="52">
        <v>7</v>
      </c>
      <c r="M32" s="52">
        <v>4</v>
      </c>
      <c r="N32" s="52">
        <f>SUM(B32:M32)</f>
        <v>101</v>
      </c>
    </row>
    <row r="33" spans="1:14" ht="16.2" x14ac:dyDescent="0.25">
      <c r="A33" s="50" t="s">
        <v>118</v>
      </c>
      <c r="B33" s="52"/>
      <c r="C33" s="52"/>
      <c r="D33" s="52"/>
      <c r="E33" s="52"/>
      <c r="F33" s="52">
        <v>123</v>
      </c>
      <c r="G33" s="58">
        <v>312</v>
      </c>
      <c r="H33" s="52">
        <v>242</v>
      </c>
      <c r="I33" s="52">
        <v>310</v>
      </c>
      <c r="J33" s="52">
        <v>268</v>
      </c>
      <c r="K33" s="52"/>
      <c r="L33" s="52"/>
      <c r="M33" s="52"/>
      <c r="N33" s="52">
        <f t="shared" si="1"/>
        <v>1255</v>
      </c>
    </row>
    <row r="34" spans="1:14" ht="16.2" x14ac:dyDescent="0.25">
      <c r="A34" s="50" t="s">
        <v>147</v>
      </c>
      <c r="B34" s="52">
        <v>131</v>
      </c>
      <c r="C34" s="52">
        <v>192</v>
      </c>
      <c r="D34" s="52"/>
      <c r="E34" s="52">
        <v>164</v>
      </c>
      <c r="F34" s="52">
        <v>156</v>
      </c>
      <c r="G34" s="58"/>
      <c r="H34" s="52"/>
      <c r="I34" s="52"/>
      <c r="J34" s="52"/>
      <c r="K34" s="52">
        <v>292</v>
      </c>
      <c r="L34" s="52">
        <v>312</v>
      </c>
      <c r="M34" s="52">
        <v>206</v>
      </c>
      <c r="N34" s="52">
        <f t="shared" si="1"/>
        <v>1453</v>
      </c>
    </row>
    <row r="35" spans="1:14" ht="16.2" x14ac:dyDescent="0.25">
      <c r="A35" s="50" t="s">
        <v>119</v>
      </c>
      <c r="B35" s="52"/>
      <c r="C35" s="52"/>
      <c r="D35" s="52"/>
      <c r="E35" s="52"/>
      <c r="F35" s="52">
        <v>35</v>
      </c>
      <c r="G35" s="58">
        <v>99</v>
      </c>
      <c r="H35" s="52">
        <v>92</v>
      </c>
      <c r="I35" s="52">
        <v>117</v>
      </c>
      <c r="J35" s="52">
        <v>99</v>
      </c>
      <c r="K35" s="52"/>
      <c r="L35" s="52"/>
      <c r="M35" s="52"/>
      <c r="N35" s="52">
        <f t="shared" si="1"/>
        <v>442</v>
      </c>
    </row>
    <row r="36" spans="1:14" ht="16.2" x14ac:dyDescent="0.25">
      <c r="A36" s="50" t="s">
        <v>148</v>
      </c>
      <c r="B36" s="52">
        <v>86</v>
      </c>
      <c r="C36" s="52">
        <v>133</v>
      </c>
      <c r="D36" s="52"/>
      <c r="E36" s="52">
        <v>94</v>
      </c>
      <c r="F36" s="52">
        <v>85</v>
      </c>
      <c r="G36" s="58"/>
      <c r="H36" s="52"/>
      <c r="I36" s="52"/>
      <c r="J36" s="52"/>
      <c r="K36" s="52">
        <v>75</v>
      </c>
      <c r="L36" s="52">
        <v>97</v>
      </c>
      <c r="M36" s="52">
        <v>95</v>
      </c>
      <c r="N36" s="52">
        <f t="shared" si="1"/>
        <v>665</v>
      </c>
    </row>
    <row r="37" spans="1:14" ht="16.2" x14ac:dyDescent="0.25">
      <c r="A37" s="50" t="s">
        <v>120</v>
      </c>
      <c r="B37" s="52"/>
      <c r="C37" s="52"/>
      <c r="D37" s="52"/>
      <c r="E37" s="52"/>
      <c r="F37" s="52">
        <v>29</v>
      </c>
      <c r="G37" s="58">
        <v>100</v>
      </c>
      <c r="H37" s="52">
        <v>90</v>
      </c>
      <c r="I37" s="52">
        <v>108</v>
      </c>
      <c r="J37" s="52">
        <v>92</v>
      </c>
      <c r="K37" s="52"/>
      <c r="L37" s="52"/>
      <c r="M37" s="52"/>
      <c r="N37" s="52">
        <f t="shared" si="1"/>
        <v>419</v>
      </c>
    </row>
    <row r="38" spans="1:14" ht="16.2" x14ac:dyDescent="0.25">
      <c r="A38" s="50" t="s">
        <v>149</v>
      </c>
      <c r="B38" s="52">
        <v>33</v>
      </c>
      <c r="C38" s="52">
        <v>43</v>
      </c>
      <c r="D38" s="52"/>
      <c r="E38" s="52">
        <v>76</v>
      </c>
      <c r="F38" s="52">
        <v>67</v>
      </c>
      <c r="G38" s="58"/>
      <c r="H38" s="52"/>
      <c r="I38" s="52"/>
      <c r="J38" s="52"/>
      <c r="K38" s="52">
        <v>63</v>
      </c>
      <c r="L38" s="52">
        <v>55</v>
      </c>
      <c r="M38" s="52">
        <v>42</v>
      </c>
      <c r="N38" s="52">
        <f t="shared" si="1"/>
        <v>379</v>
      </c>
    </row>
    <row r="39" spans="1:14" ht="16.2" x14ac:dyDescent="0.25">
      <c r="A39" s="50" t="s">
        <v>121</v>
      </c>
      <c r="B39" s="52"/>
      <c r="C39" s="52"/>
      <c r="D39" s="52"/>
      <c r="E39" s="52"/>
      <c r="F39" s="52">
        <v>16</v>
      </c>
      <c r="G39" s="58">
        <v>69</v>
      </c>
      <c r="H39" s="52">
        <v>70</v>
      </c>
      <c r="I39" s="52">
        <v>91</v>
      </c>
      <c r="J39" s="52">
        <v>59</v>
      </c>
      <c r="K39" s="52"/>
      <c r="L39" s="52"/>
      <c r="M39" s="52"/>
      <c r="N39" s="52">
        <f t="shared" si="1"/>
        <v>305</v>
      </c>
    </row>
    <row r="40" spans="1:14" ht="16.2" x14ac:dyDescent="0.25">
      <c r="A40" s="50" t="s">
        <v>150</v>
      </c>
      <c r="B40" s="52">
        <v>28</v>
      </c>
      <c r="C40" s="52">
        <v>41</v>
      </c>
      <c r="D40" s="52"/>
      <c r="E40" s="52">
        <v>34</v>
      </c>
      <c r="F40" s="52">
        <v>35</v>
      </c>
      <c r="G40" s="58"/>
      <c r="H40" s="52"/>
      <c r="I40" s="52"/>
      <c r="J40" s="52"/>
      <c r="K40" s="52">
        <v>58</v>
      </c>
      <c r="L40" s="52">
        <v>77</v>
      </c>
      <c r="M40" s="52">
        <v>50</v>
      </c>
      <c r="N40" s="52">
        <f t="shared" si="1"/>
        <v>323</v>
      </c>
    </row>
    <row r="41" spans="1:14" ht="16.2" x14ac:dyDescent="0.25">
      <c r="A41" s="50" t="s">
        <v>122</v>
      </c>
      <c r="B41" s="52"/>
      <c r="C41" s="52"/>
      <c r="D41" s="52"/>
      <c r="E41" s="52"/>
      <c r="F41" s="52">
        <v>12</v>
      </c>
      <c r="G41" s="58">
        <v>32</v>
      </c>
      <c r="H41" s="52">
        <v>44</v>
      </c>
      <c r="I41" s="52">
        <v>42</v>
      </c>
      <c r="J41" s="52">
        <v>24</v>
      </c>
      <c r="K41" s="52"/>
      <c r="L41" s="52"/>
      <c r="M41" s="52"/>
      <c r="N41" s="52">
        <f t="shared" si="1"/>
        <v>154</v>
      </c>
    </row>
    <row r="42" spans="1:14" ht="16.2" x14ac:dyDescent="0.25">
      <c r="A42" s="50" t="s">
        <v>151</v>
      </c>
      <c r="B42" s="52">
        <v>10</v>
      </c>
      <c r="C42" s="52">
        <v>15</v>
      </c>
      <c r="D42" s="52"/>
      <c r="E42" s="52">
        <v>27</v>
      </c>
      <c r="F42" s="52">
        <v>18</v>
      </c>
      <c r="G42" s="58"/>
      <c r="H42" s="52"/>
      <c r="I42" s="52"/>
      <c r="J42" s="52"/>
      <c r="K42" s="52">
        <v>20</v>
      </c>
      <c r="L42" s="52">
        <v>15</v>
      </c>
      <c r="M42" s="52">
        <v>14</v>
      </c>
      <c r="N42" s="52">
        <f t="shared" si="1"/>
        <v>119</v>
      </c>
    </row>
    <row r="43" spans="1:14" ht="16.2" x14ac:dyDescent="0.25">
      <c r="A43" s="50" t="s">
        <v>123</v>
      </c>
      <c r="B43" s="52"/>
      <c r="C43" s="52"/>
      <c r="D43" s="52"/>
      <c r="E43" s="52"/>
      <c r="F43" s="52">
        <v>10</v>
      </c>
      <c r="G43" s="58">
        <v>6</v>
      </c>
      <c r="H43" s="52">
        <v>13</v>
      </c>
      <c r="I43" s="52">
        <v>13</v>
      </c>
      <c r="J43" s="52">
        <v>11</v>
      </c>
      <c r="K43" s="52"/>
      <c r="L43" s="52"/>
      <c r="M43" s="52"/>
      <c r="N43" s="52">
        <f t="shared" si="1"/>
        <v>53</v>
      </c>
    </row>
    <row r="44" spans="1:14" ht="16.2" x14ac:dyDescent="0.25">
      <c r="A44" s="50" t="s">
        <v>152</v>
      </c>
      <c r="B44" s="52">
        <v>9</v>
      </c>
      <c r="C44" s="52">
        <v>6</v>
      </c>
      <c r="D44" s="52"/>
      <c r="E44" s="52">
        <v>4</v>
      </c>
      <c r="F44" s="52">
        <v>4</v>
      </c>
      <c r="G44" s="58"/>
      <c r="H44" s="52"/>
      <c r="I44" s="52"/>
      <c r="J44" s="52"/>
      <c r="K44" s="52">
        <v>8</v>
      </c>
      <c r="L44" s="52">
        <v>5</v>
      </c>
      <c r="M44" s="52">
        <v>4</v>
      </c>
      <c r="N44" s="52">
        <f t="shared" si="1"/>
        <v>40</v>
      </c>
    </row>
    <row r="45" spans="1:14" ht="16.2" x14ac:dyDescent="0.25">
      <c r="A45" s="50" t="s">
        <v>124</v>
      </c>
      <c r="B45" s="52"/>
      <c r="C45" s="52"/>
      <c r="D45" s="52"/>
      <c r="E45" s="52"/>
      <c r="F45" s="52"/>
      <c r="G45" s="58">
        <v>2</v>
      </c>
      <c r="H45" s="52">
        <v>4</v>
      </c>
      <c r="I45" s="52">
        <v>3</v>
      </c>
      <c r="J45" s="52">
        <v>3</v>
      </c>
      <c r="K45" s="52"/>
      <c r="L45" s="52"/>
      <c r="M45" s="52"/>
      <c r="N45" s="52">
        <f t="shared" si="1"/>
        <v>12</v>
      </c>
    </row>
    <row r="46" spans="1:14" ht="16.2" x14ac:dyDescent="0.25">
      <c r="A46" s="50" t="s">
        <v>153</v>
      </c>
      <c r="B46" s="52">
        <v>6</v>
      </c>
      <c r="C46" s="52">
        <v>4</v>
      </c>
      <c r="D46" s="52"/>
      <c r="E46" s="52">
        <v>3</v>
      </c>
      <c r="F46" s="52">
        <v>4</v>
      </c>
      <c r="G46" s="58"/>
      <c r="H46" s="52"/>
      <c r="I46" s="52"/>
      <c r="J46" s="52"/>
      <c r="K46" s="52">
        <v>1</v>
      </c>
      <c r="L46" s="52">
        <v>3</v>
      </c>
      <c r="M46" s="52">
        <v>2</v>
      </c>
      <c r="N46" s="52">
        <f t="shared" si="1"/>
        <v>23</v>
      </c>
    </row>
    <row r="47" spans="1:14" ht="16.2" x14ac:dyDescent="0.25">
      <c r="A47" s="50" t="s">
        <v>125</v>
      </c>
      <c r="B47" s="52"/>
      <c r="C47" s="52"/>
      <c r="D47" s="52"/>
      <c r="E47" s="52"/>
      <c r="F47" s="52"/>
      <c r="G47" s="58"/>
      <c r="H47" s="52">
        <v>1</v>
      </c>
      <c r="I47" s="52">
        <v>2</v>
      </c>
      <c r="J47" s="52">
        <v>3</v>
      </c>
      <c r="K47" s="52"/>
      <c r="L47" s="52"/>
      <c r="M47" s="52"/>
      <c r="N47" s="52">
        <f t="shared" si="1"/>
        <v>6</v>
      </c>
    </row>
    <row r="48" spans="1:14" ht="16.2" x14ac:dyDescent="0.25">
      <c r="A48" s="50" t="s">
        <v>154</v>
      </c>
      <c r="B48" s="52"/>
      <c r="C48" s="52">
        <v>2</v>
      </c>
      <c r="D48" s="52"/>
      <c r="E48" s="52">
        <v>3</v>
      </c>
      <c r="F48" s="52">
        <v>1</v>
      </c>
      <c r="G48" s="58"/>
      <c r="H48" s="52"/>
      <c r="I48" s="52"/>
      <c r="J48" s="52"/>
      <c r="K48" s="52">
        <v>3</v>
      </c>
      <c r="L48" s="52">
        <v>6</v>
      </c>
      <c r="M48" s="52">
        <v>2</v>
      </c>
      <c r="N48" s="52">
        <f t="shared" si="1"/>
        <v>17</v>
      </c>
    </row>
    <row r="49" spans="1:14" ht="16.2" x14ac:dyDescent="0.25">
      <c r="A49" s="50" t="s">
        <v>126</v>
      </c>
      <c r="B49" s="52"/>
      <c r="C49" s="52"/>
      <c r="D49" s="52"/>
      <c r="E49" s="52"/>
      <c r="F49" s="52">
        <v>2</v>
      </c>
      <c r="G49" s="58">
        <v>4</v>
      </c>
      <c r="H49" s="52"/>
      <c r="I49" s="52">
        <v>10</v>
      </c>
      <c r="J49" s="52">
        <v>4</v>
      </c>
      <c r="K49" s="52"/>
      <c r="L49" s="52"/>
      <c r="M49" s="52"/>
      <c r="N49" s="52">
        <f t="shared" si="1"/>
        <v>20</v>
      </c>
    </row>
    <row r="50" spans="1:14" ht="16.2" x14ac:dyDescent="0.25">
      <c r="A50" s="57" t="s">
        <v>155</v>
      </c>
      <c r="B50" s="55">
        <v>6</v>
      </c>
      <c r="C50" s="52">
        <v>3</v>
      </c>
      <c r="D50" s="52"/>
      <c r="E50" s="52">
        <v>1</v>
      </c>
      <c r="F50" s="52">
        <v>3</v>
      </c>
      <c r="G50" s="58"/>
      <c r="H50" s="52"/>
      <c r="I50" s="52"/>
      <c r="J50" s="52"/>
      <c r="K50" s="52">
        <v>4</v>
      </c>
      <c r="L50" s="52">
        <v>9</v>
      </c>
      <c r="M50" s="52"/>
      <c r="N50" s="52">
        <f t="shared" si="1"/>
        <v>26</v>
      </c>
    </row>
    <row r="51" spans="1:14" ht="16.2" x14ac:dyDescent="0.25">
      <c r="A51" s="56" t="s">
        <v>77</v>
      </c>
      <c r="B51" s="58">
        <v>18</v>
      </c>
      <c r="C51" s="52">
        <v>18</v>
      </c>
      <c r="D51" s="52">
        <v>22</v>
      </c>
      <c r="E51" s="52">
        <v>15</v>
      </c>
      <c r="F51" s="52">
        <v>20</v>
      </c>
      <c r="G51" s="52">
        <v>16</v>
      </c>
      <c r="H51" s="52"/>
      <c r="I51" s="52">
        <v>3</v>
      </c>
      <c r="J51" s="52">
        <v>19</v>
      </c>
      <c r="K51" s="52">
        <v>21</v>
      </c>
      <c r="L51" s="52">
        <v>19</v>
      </c>
      <c r="M51" s="52">
        <v>13</v>
      </c>
      <c r="N51" s="58">
        <f t="shared" si="1"/>
        <v>184</v>
      </c>
    </row>
    <row r="52" spans="1:14" ht="16.2" x14ac:dyDescent="0.25">
      <c r="A52" s="59" t="s">
        <v>26</v>
      </c>
      <c r="B52" s="58">
        <v>713</v>
      </c>
      <c r="C52" s="52">
        <v>650</v>
      </c>
      <c r="D52" s="52">
        <v>711</v>
      </c>
      <c r="E52" s="52">
        <v>695</v>
      </c>
      <c r="F52" s="52">
        <v>736</v>
      </c>
      <c r="G52" s="52">
        <v>709</v>
      </c>
      <c r="H52" s="52">
        <v>740</v>
      </c>
      <c r="I52" s="52">
        <v>741</v>
      </c>
      <c r="J52" s="52">
        <v>837</v>
      </c>
      <c r="K52" s="52">
        <v>710</v>
      </c>
      <c r="L52" s="52">
        <v>700</v>
      </c>
      <c r="M52" s="52">
        <v>721</v>
      </c>
      <c r="N52" s="58">
        <f t="shared" si="1"/>
        <v>8663</v>
      </c>
    </row>
    <row r="53" spans="1:14" ht="16.2" x14ac:dyDescent="0.25">
      <c r="A53" s="56" t="s">
        <v>158</v>
      </c>
      <c r="B53">
        <f t="shared" ref="B53:N53" si="2">SUM(B4:B52)</f>
        <v>13297</v>
      </c>
      <c r="C53">
        <f t="shared" si="2"/>
        <v>13031</v>
      </c>
      <c r="D53">
        <f t="shared" si="2"/>
        <v>10364</v>
      </c>
      <c r="E53">
        <f t="shared" si="2"/>
        <v>16412</v>
      </c>
      <c r="F53">
        <f t="shared" si="2"/>
        <v>19223</v>
      </c>
      <c r="G53">
        <f t="shared" si="2"/>
        <v>20004</v>
      </c>
      <c r="H53">
        <f t="shared" si="2"/>
        <v>23504</v>
      </c>
      <c r="I53">
        <f t="shared" si="2"/>
        <v>22661</v>
      </c>
      <c r="J53">
        <f t="shared" si="2"/>
        <v>18462</v>
      </c>
      <c r="K53">
        <f t="shared" si="2"/>
        <v>15777</v>
      </c>
      <c r="L53">
        <f t="shared" si="2"/>
        <v>13947</v>
      </c>
      <c r="M53">
        <f t="shared" si="2"/>
        <v>15283</v>
      </c>
      <c r="N53">
        <f t="shared" si="2"/>
        <v>201965</v>
      </c>
    </row>
    <row r="55" spans="1:14" ht="16.2" x14ac:dyDescent="0.25">
      <c r="A55" s="39" t="s">
        <v>86</v>
      </c>
      <c r="B55" s="40">
        <f t="shared" ref="B55:D55" si="3">+B4+B8+B5+B6</f>
        <v>3850</v>
      </c>
      <c r="C55" s="40">
        <f t="shared" si="3"/>
        <v>2290</v>
      </c>
      <c r="D55" s="40">
        <f t="shared" si="3"/>
        <v>0</v>
      </c>
      <c r="E55" s="40">
        <f>+E4+E8+E5+E6</f>
        <v>3570</v>
      </c>
      <c r="F55" s="40">
        <f t="shared" ref="F55:N55" si="4">+F4+F8+F5+F6</f>
        <v>4570</v>
      </c>
      <c r="G55" s="40">
        <f t="shared" si="4"/>
        <v>4400</v>
      </c>
      <c r="H55" s="40">
        <f t="shared" si="4"/>
        <v>3850</v>
      </c>
      <c r="I55" s="40">
        <f t="shared" si="4"/>
        <v>3750</v>
      </c>
      <c r="J55" s="40">
        <f t="shared" si="4"/>
        <v>3720</v>
      </c>
      <c r="K55" s="40">
        <f t="shared" si="4"/>
        <v>3900</v>
      </c>
      <c r="L55" s="40">
        <f t="shared" si="4"/>
        <v>3220</v>
      </c>
      <c r="M55" s="40">
        <f t="shared" si="4"/>
        <v>3980</v>
      </c>
      <c r="N55" s="40">
        <f t="shared" si="4"/>
        <v>41100</v>
      </c>
    </row>
    <row r="56" spans="1:14" ht="16.2" x14ac:dyDescent="0.25">
      <c r="A56" s="39" t="s">
        <v>157</v>
      </c>
      <c r="B56" s="40">
        <f>+B12+B30</f>
        <v>3375</v>
      </c>
      <c r="C56" s="40">
        <f t="shared" ref="C56:M56" si="5">+C12+C30</f>
        <v>4325</v>
      </c>
      <c r="D56" s="40">
        <f t="shared" si="5"/>
        <v>6275</v>
      </c>
      <c r="E56" s="40">
        <f t="shared" si="5"/>
        <v>4725</v>
      </c>
      <c r="F56" s="40">
        <f t="shared" si="5"/>
        <v>4850</v>
      </c>
      <c r="G56" s="40">
        <f t="shared" si="5"/>
        <v>5375</v>
      </c>
      <c r="H56" s="40">
        <f t="shared" si="5"/>
        <v>5425</v>
      </c>
      <c r="I56" s="40">
        <f t="shared" si="5"/>
        <v>5175</v>
      </c>
      <c r="J56" s="40">
        <f t="shared" si="5"/>
        <v>4575</v>
      </c>
      <c r="K56" s="40">
        <f t="shared" si="5"/>
        <v>4400</v>
      </c>
      <c r="L56" s="40">
        <f t="shared" si="5"/>
        <v>3575</v>
      </c>
      <c r="M56" s="40">
        <f t="shared" si="5"/>
        <v>3700</v>
      </c>
      <c r="N56" s="40">
        <f>+N12+N30</f>
        <v>55775</v>
      </c>
    </row>
    <row r="57" spans="1:14" ht="16.2" x14ac:dyDescent="0.25">
      <c r="A57" s="33" t="s">
        <v>50</v>
      </c>
      <c r="B57" s="40">
        <f>+B4+B7+B8+B9+B15+B16+B19+B20+B23+B24+B27+B28+B33+B34+B35+B36+B37+B38+B39+B40+B41+B42+B43+B44+B45+B46+B47+B48+B49+B50</f>
        <v>5019</v>
      </c>
      <c r="C57" s="40">
        <f t="shared" ref="C57:H57" si="6">+C4+C7+C8+C9+C15+C16+C19+C20+C23+C24+C27+C28+C33+C34+C35+C36+C37+C38+C39+C40+C41+C42+C43+C44+C45+C46+C47+C48+C49+C50</f>
        <v>4779</v>
      </c>
      <c r="D57" s="40">
        <f t="shared" si="6"/>
        <v>2</v>
      </c>
      <c r="E57" s="40">
        <f t="shared" si="6"/>
        <v>5624</v>
      </c>
      <c r="F57" s="40">
        <f t="shared" si="6"/>
        <v>7211</v>
      </c>
      <c r="G57" s="40">
        <f t="shared" si="6"/>
        <v>7182</v>
      </c>
      <c r="H57" s="40">
        <f t="shared" si="6"/>
        <v>8099</v>
      </c>
      <c r="I57" s="40">
        <f>+I4+I7+I8+I9+I15+I16+I19+I20+I23+I24+I27+I28+I33+I34+I35+I36+I37+I38+I39+I40+I41+I42+I43+I44+I45+I46+I47+I48+I49+I50+I17</f>
        <v>7562</v>
      </c>
      <c r="J57" s="40">
        <f t="shared" ref="J57:N57" si="7">+J4+J7+J8+J9+J15+J16+J19+J20+J23+J24+J27+J28+J33+J34+J35+J36+J37+J38+J39+J40+J41+J42+J43+J44+J45+J46+J47+J48+J49+J50+J17</f>
        <v>6781</v>
      </c>
      <c r="K57" s="40">
        <f t="shared" si="7"/>
        <v>5918</v>
      </c>
      <c r="L57" s="40">
        <f t="shared" si="7"/>
        <v>5495</v>
      </c>
      <c r="M57" s="40">
        <f t="shared" si="7"/>
        <v>5895</v>
      </c>
      <c r="N57" s="40">
        <f t="shared" si="7"/>
        <v>69567</v>
      </c>
    </row>
    <row r="58" spans="1:14" ht="16.2" x14ac:dyDescent="0.25">
      <c r="A58" s="33" t="s">
        <v>28</v>
      </c>
      <c r="B58" s="40">
        <f>SUM(B4:B50)-B22-B29-B21</f>
        <v>12547</v>
      </c>
      <c r="C58" s="40">
        <f t="shared" ref="C58:M58" si="8">SUM(C4:C50)-C22-C29-C21</f>
        <v>12345</v>
      </c>
      <c r="D58" s="40">
        <f t="shared" si="8"/>
        <v>9609</v>
      </c>
      <c r="E58" s="40">
        <f t="shared" si="8"/>
        <v>15687</v>
      </c>
      <c r="F58" s="40">
        <f t="shared" si="8"/>
        <v>18441</v>
      </c>
      <c r="G58" s="40">
        <f t="shared" si="8"/>
        <v>19260</v>
      </c>
      <c r="H58" s="40">
        <f t="shared" si="8"/>
        <v>22764</v>
      </c>
      <c r="I58" s="40">
        <f t="shared" si="8"/>
        <v>21901</v>
      </c>
      <c r="J58" s="40">
        <f t="shared" si="8"/>
        <v>17585</v>
      </c>
      <c r="K58" s="40">
        <f t="shared" si="8"/>
        <v>15022</v>
      </c>
      <c r="L58" s="40">
        <f t="shared" si="8"/>
        <v>13189</v>
      </c>
      <c r="M58" s="40">
        <f t="shared" si="8"/>
        <v>14536</v>
      </c>
      <c r="N58" s="40">
        <f>SUM(N4:N50)-N22-N29-N21</f>
        <v>192886</v>
      </c>
    </row>
    <row r="59" spans="1:14" ht="16.2" x14ac:dyDescent="0.25">
      <c r="A59" s="33" t="s">
        <v>46</v>
      </c>
      <c r="B59" s="40">
        <f>SUM(B4:B50)-B22-B29-B51-B52-B21</f>
        <v>11816</v>
      </c>
      <c r="C59" s="40">
        <f t="shared" ref="C59:M59" si="9">SUM(C4:C50)-C22-C29-C51-C52-C21</f>
        <v>11677</v>
      </c>
      <c r="D59" s="40">
        <f t="shared" si="9"/>
        <v>8876</v>
      </c>
      <c r="E59" s="40">
        <f t="shared" si="9"/>
        <v>14977</v>
      </c>
      <c r="F59" s="40">
        <f t="shared" si="9"/>
        <v>17685</v>
      </c>
      <c r="G59" s="40">
        <f t="shared" si="9"/>
        <v>18535</v>
      </c>
      <c r="H59" s="40">
        <f t="shared" si="9"/>
        <v>22024</v>
      </c>
      <c r="I59" s="40">
        <f t="shared" si="9"/>
        <v>21157</v>
      </c>
      <c r="J59" s="40">
        <f t="shared" si="9"/>
        <v>16729</v>
      </c>
      <c r="K59" s="40">
        <f t="shared" si="9"/>
        <v>14291</v>
      </c>
      <c r="L59" s="40">
        <f t="shared" si="9"/>
        <v>12470</v>
      </c>
      <c r="M59" s="40">
        <f t="shared" si="9"/>
        <v>13802</v>
      </c>
      <c r="N59" s="40">
        <f>SUM(N4:N50)-N22-N29-N51-N52-N21</f>
        <v>184039</v>
      </c>
    </row>
    <row r="60" spans="1:14" ht="16.2" x14ac:dyDescent="0.25">
      <c r="A60" s="33" t="s">
        <v>52</v>
      </c>
      <c r="B60" s="40">
        <f>+B10+B11+B12+B13+B14+B25+B26+B31+B32</f>
        <v>4298</v>
      </c>
      <c r="C60" s="40">
        <f t="shared" ref="C60:M60" si="10">+C10+C11+C12+C13+C14+C25+C26+C31+C32</f>
        <v>4653</v>
      </c>
      <c r="D60" s="40">
        <f t="shared" si="10"/>
        <v>6829</v>
      </c>
      <c r="E60" s="40">
        <f t="shared" si="10"/>
        <v>6447</v>
      </c>
      <c r="F60" s="40">
        <f t="shared" si="10"/>
        <v>6722</v>
      </c>
      <c r="G60" s="40">
        <f t="shared" si="10"/>
        <v>7493</v>
      </c>
      <c r="H60" s="40">
        <f t="shared" si="10"/>
        <v>10224</v>
      </c>
      <c r="I60" s="40">
        <f t="shared" si="10"/>
        <v>9950</v>
      </c>
      <c r="J60" s="40">
        <f t="shared" si="10"/>
        <v>7221</v>
      </c>
      <c r="K60" s="40">
        <f t="shared" si="10"/>
        <v>5292</v>
      </c>
      <c r="L60" s="40">
        <f t="shared" si="10"/>
        <v>4503</v>
      </c>
      <c r="M60" s="40">
        <f t="shared" si="10"/>
        <v>4946</v>
      </c>
      <c r="N60" s="40">
        <f>+N10+N11+N12+N13+N14+N25+N26+N31+N32</f>
        <v>78578</v>
      </c>
    </row>
    <row r="61" spans="1:14" ht="16.2" x14ac:dyDescent="0.25">
      <c r="A61" s="36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5" spans="1:14" ht="16.2" x14ac:dyDescent="0.25">
      <c r="A65" s="39" t="s">
        <v>179</v>
      </c>
      <c r="B65" s="40">
        <f>+B4+B7+B8+B9+B5+B6</f>
        <v>3850</v>
      </c>
      <c r="C65" s="40">
        <f t="shared" ref="C65:N65" si="11">+C4+C7+C8+C9+C5+C6</f>
        <v>2290</v>
      </c>
      <c r="D65" s="40">
        <f t="shared" si="11"/>
        <v>0</v>
      </c>
      <c r="E65" s="40">
        <f t="shared" si="11"/>
        <v>3570</v>
      </c>
      <c r="F65" s="40">
        <f t="shared" si="11"/>
        <v>4590</v>
      </c>
      <c r="G65" s="40">
        <f t="shared" si="11"/>
        <v>4400</v>
      </c>
      <c r="H65" s="40">
        <f t="shared" si="11"/>
        <v>3850</v>
      </c>
      <c r="I65" s="40">
        <f t="shared" si="11"/>
        <v>3770</v>
      </c>
      <c r="J65" s="40">
        <f t="shared" si="11"/>
        <v>3720</v>
      </c>
      <c r="K65" s="40">
        <f t="shared" si="11"/>
        <v>3900</v>
      </c>
      <c r="L65" s="40">
        <f t="shared" si="11"/>
        <v>3220</v>
      </c>
      <c r="M65" s="40">
        <f t="shared" si="11"/>
        <v>3980</v>
      </c>
      <c r="N65" s="40">
        <f t="shared" si="11"/>
        <v>41140</v>
      </c>
    </row>
    <row r="66" spans="1:14" ht="16.2" x14ac:dyDescent="0.25">
      <c r="A66" s="39" t="s">
        <v>177</v>
      </c>
      <c r="B66" s="40">
        <f>+B15+B16+B23+B24</f>
        <v>2839</v>
      </c>
      <c r="C66" s="40">
        <f t="shared" ref="C66:N66" si="12">+C15+C16+C23+C24</f>
        <v>2949</v>
      </c>
      <c r="D66" s="40">
        <f t="shared" si="12"/>
        <v>0</v>
      </c>
      <c r="E66" s="40">
        <f t="shared" si="12"/>
        <v>3220</v>
      </c>
      <c r="F66" s="40">
        <f t="shared" si="12"/>
        <v>4064</v>
      </c>
      <c r="G66" s="40">
        <f t="shared" si="12"/>
        <v>4134</v>
      </c>
      <c r="H66" s="40">
        <f t="shared" si="12"/>
        <v>5161</v>
      </c>
      <c r="I66" s="40">
        <f t="shared" si="12"/>
        <v>4881</v>
      </c>
      <c r="J66" s="40">
        <f t="shared" si="12"/>
        <v>3938</v>
      </c>
      <c r="K66" s="40">
        <f t="shared" si="12"/>
        <v>3193</v>
      </c>
      <c r="L66" s="40">
        <f t="shared" si="12"/>
        <v>3136</v>
      </c>
      <c r="M66" s="40">
        <f t="shared" si="12"/>
        <v>3438</v>
      </c>
      <c r="N66" s="40">
        <f t="shared" si="12"/>
        <v>40953</v>
      </c>
    </row>
    <row r="67" spans="1:14" ht="16.2" x14ac:dyDescent="0.25">
      <c r="A67" s="33" t="s">
        <v>178</v>
      </c>
      <c r="B67" s="40">
        <f>+B19+B20+B27+B28</f>
        <v>1</v>
      </c>
      <c r="C67" s="40">
        <f t="shared" ref="C67:N67" si="13">+C19+C20+C27+C28</f>
        <v>11</v>
      </c>
      <c r="D67" s="40">
        <f t="shared" si="13"/>
        <v>2</v>
      </c>
      <c r="E67" s="40">
        <f t="shared" si="13"/>
        <v>18</v>
      </c>
      <c r="F67" s="40">
        <f t="shared" si="13"/>
        <v>37</v>
      </c>
      <c r="G67" s="40">
        <f t="shared" si="13"/>
        <v>54</v>
      </c>
      <c r="H67" s="40">
        <f t="shared" si="13"/>
        <v>72</v>
      </c>
      <c r="I67" s="40">
        <f t="shared" si="13"/>
        <v>75</v>
      </c>
      <c r="J67" s="40">
        <f t="shared" si="13"/>
        <v>40</v>
      </c>
      <c r="K67" s="40">
        <f t="shared" si="13"/>
        <v>11</v>
      </c>
      <c r="L67" s="40">
        <f t="shared" si="13"/>
        <v>0</v>
      </c>
      <c r="M67" s="40">
        <f t="shared" si="13"/>
        <v>2</v>
      </c>
      <c r="N67" s="40">
        <f t="shared" si="13"/>
        <v>323</v>
      </c>
    </row>
    <row r="68" spans="1:14" ht="16.2" x14ac:dyDescent="0.25">
      <c r="A68" s="33" t="s">
        <v>180</v>
      </c>
      <c r="B68" s="40">
        <f>+B33+B34+B35+B36+B37+B38+B39+B40+B41+B42+B43+B44+B45+B46+B47+B48+B49+B50</f>
        <v>309</v>
      </c>
      <c r="C68" s="40">
        <f t="shared" ref="C68:H68" si="14">+C33+C34+C35+C36+C37+C38+C39+C40+C41+C42+C43+C44+C45+C46+C47+C48+C49+C50</f>
        <v>439</v>
      </c>
      <c r="D68" s="40">
        <f t="shared" si="14"/>
        <v>0</v>
      </c>
      <c r="E68" s="40">
        <f t="shared" si="14"/>
        <v>406</v>
      </c>
      <c r="F68" s="40">
        <f t="shared" si="14"/>
        <v>600</v>
      </c>
      <c r="G68" s="40">
        <f t="shared" si="14"/>
        <v>624</v>
      </c>
      <c r="H68" s="40">
        <f t="shared" si="14"/>
        <v>556</v>
      </c>
      <c r="I68" s="40">
        <f>+I33+I34+I35+I36+I37+I38+I39+I40+I41+I42+I43+I44+I45+I46+I47+I48+I49+I50+I17</f>
        <v>696</v>
      </c>
      <c r="J68" s="40">
        <f t="shared" ref="J68:N68" si="15">+J33+J34+J35+J36+J37+J38+J39+J40+J41+J42+J43+J44+J45+J46+J47+J48+J49+J50+J17</f>
        <v>563</v>
      </c>
      <c r="K68" s="40">
        <f t="shared" si="15"/>
        <v>524</v>
      </c>
      <c r="L68" s="40">
        <f t="shared" si="15"/>
        <v>579</v>
      </c>
      <c r="M68" s="40">
        <f t="shared" si="15"/>
        <v>415</v>
      </c>
      <c r="N68" s="40">
        <f t="shared" si="15"/>
        <v>5711</v>
      </c>
    </row>
    <row r="69" spans="1:14" ht="16.2" x14ac:dyDescent="0.25">
      <c r="A69" s="33" t="s">
        <v>157</v>
      </c>
      <c r="B69" s="40">
        <f>+B12+B30</f>
        <v>3375</v>
      </c>
      <c r="C69" s="40">
        <f t="shared" ref="C69:N69" si="16">+C12+C30</f>
        <v>4325</v>
      </c>
      <c r="D69" s="40">
        <f t="shared" si="16"/>
        <v>6275</v>
      </c>
      <c r="E69" s="40">
        <f t="shared" si="16"/>
        <v>4725</v>
      </c>
      <c r="F69" s="40">
        <f t="shared" si="16"/>
        <v>4850</v>
      </c>
      <c r="G69" s="40">
        <f t="shared" si="16"/>
        <v>5375</v>
      </c>
      <c r="H69" s="40">
        <f t="shared" si="16"/>
        <v>5425</v>
      </c>
      <c r="I69" s="40">
        <f t="shared" si="16"/>
        <v>5175</v>
      </c>
      <c r="J69" s="40">
        <f t="shared" si="16"/>
        <v>4575</v>
      </c>
      <c r="K69" s="40">
        <f t="shared" si="16"/>
        <v>4400</v>
      </c>
      <c r="L69" s="40">
        <f t="shared" si="16"/>
        <v>3575</v>
      </c>
      <c r="M69" s="40">
        <f t="shared" si="16"/>
        <v>3700</v>
      </c>
      <c r="N69" s="40">
        <f t="shared" si="16"/>
        <v>55775</v>
      </c>
    </row>
    <row r="70" spans="1:14" ht="16.2" x14ac:dyDescent="0.25">
      <c r="A70" s="33" t="s">
        <v>181</v>
      </c>
      <c r="B70" s="40">
        <f>+B13+B14+B25+B26</f>
        <v>2139</v>
      </c>
      <c r="C70" s="40">
        <f t="shared" ref="C70:N70" si="17">+C13+C14+C25+C26</f>
        <v>2288</v>
      </c>
      <c r="D70" s="40">
        <f t="shared" si="17"/>
        <v>3260</v>
      </c>
      <c r="E70" s="40">
        <f t="shared" si="17"/>
        <v>3595</v>
      </c>
      <c r="F70" s="40">
        <f t="shared" si="17"/>
        <v>4005</v>
      </c>
      <c r="G70" s="40">
        <f t="shared" si="17"/>
        <v>4428</v>
      </c>
      <c r="H70" s="40">
        <f t="shared" si="17"/>
        <v>7222</v>
      </c>
      <c r="I70" s="40">
        <f t="shared" si="17"/>
        <v>6834</v>
      </c>
      <c r="J70" s="40">
        <f t="shared" si="17"/>
        <v>4527</v>
      </c>
      <c r="K70" s="40">
        <f t="shared" si="17"/>
        <v>2881</v>
      </c>
      <c r="L70" s="40">
        <f t="shared" si="17"/>
        <v>2638</v>
      </c>
      <c r="M70" s="40">
        <f t="shared" si="17"/>
        <v>2979</v>
      </c>
      <c r="N70" s="40">
        <f t="shared" si="17"/>
        <v>46796</v>
      </c>
    </row>
    <row r="71" spans="1:14" ht="16.2" x14ac:dyDescent="0.25">
      <c r="A71" s="33" t="s">
        <v>182</v>
      </c>
      <c r="B71" s="40">
        <f>+B10+B11+B31+B32</f>
        <v>34</v>
      </c>
      <c r="C71" s="40">
        <f t="shared" ref="C71:N71" si="18">+C10+C11+C31+C32</f>
        <v>40</v>
      </c>
      <c r="D71" s="40">
        <f t="shared" si="18"/>
        <v>69</v>
      </c>
      <c r="E71" s="40">
        <f t="shared" si="18"/>
        <v>152</v>
      </c>
      <c r="F71" s="40">
        <f t="shared" si="18"/>
        <v>292</v>
      </c>
      <c r="G71" s="40">
        <f t="shared" si="18"/>
        <v>240</v>
      </c>
      <c r="H71" s="40">
        <f t="shared" si="18"/>
        <v>477</v>
      </c>
      <c r="I71" s="40">
        <f t="shared" si="18"/>
        <v>466</v>
      </c>
      <c r="J71" s="40">
        <f t="shared" si="18"/>
        <v>219</v>
      </c>
      <c r="K71" s="40">
        <f t="shared" si="18"/>
        <v>111</v>
      </c>
      <c r="L71" s="40">
        <f t="shared" si="18"/>
        <v>40</v>
      </c>
      <c r="M71" s="40">
        <f t="shared" si="18"/>
        <v>17</v>
      </c>
      <c r="N71" s="40">
        <f t="shared" si="18"/>
        <v>2157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71"/>
  <sheetViews>
    <sheetView workbookViewId="0">
      <pane xSplit="1" ySplit="1" topLeftCell="H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RowHeight="15" x14ac:dyDescent="0.25"/>
  <cols>
    <col min="1" max="1" width="27" customWidth="1"/>
  </cols>
  <sheetData>
    <row r="1" spans="1:14" ht="18.600000000000001" x14ac:dyDescent="0.25">
      <c r="A1" s="48" t="s">
        <v>195</v>
      </c>
    </row>
    <row r="2" spans="1:14" x14ac:dyDescent="0.25">
      <c r="A2" s="49"/>
    </row>
    <row r="3" spans="1:14" ht="16.8" x14ac:dyDescent="0.25">
      <c r="A3" s="49"/>
      <c r="B3" s="47" t="s">
        <v>29</v>
      </c>
      <c r="C3" s="34" t="s">
        <v>30</v>
      </c>
      <c r="D3" s="34" t="s">
        <v>31</v>
      </c>
      <c r="E3" s="34" t="s">
        <v>32</v>
      </c>
      <c r="F3" s="34" t="s">
        <v>33</v>
      </c>
      <c r="G3" s="34" t="s">
        <v>34</v>
      </c>
      <c r="H3" s="34" t="s">
        <v>35</v>
      </c>
      <c r="I3" s="34" t="s">
        <v>36</v>
      </c>
      <c r="J3" s="34" t="s">
        <v>37</v>
      </c>
      <c r="K3" s="34" t="s">
        <v>38</v>
      </c>
      <c r="L3" s="34" t="s">
        <v>39</v>
      </c>
      <c r="M3" s="34" t="s">
        <v>40</v>
      </c>
      <c r="N3" s="35" t="s">
        <v>41</v>
      </c>
    </row>
    <row r="4" spans="1:14" ht="16.2" x14ac:dyDescent="0.25">
      <c r="A4" s="50" t="s">
        <v>190</v>
      </c>
      <c r="B4" s="52">
        <v>10</v>
      </c>
      <c r="C4" s="52">
        <v>40</v>
      </c>
      <c r="D4" s="52">
        <v>50</v>
      </c>
      <c r="E4" s="52">
        <v>30</v>
      </c>
      <c r="F4" s="52">
        <v>20</v>
      </c>
      <c r="G4" s="58">
        <v>50</v>
      </c>
      <c r="H4" s="52">
        <v>50</v>
      </c>
      <c r="I4" s="52">
        <v>50</v>
      </c>
      <c r="J4" s="52">
        <v>20</v>
      </c>
      <c r="K4" s="52">
        <v>70</v>
      </c>
      <c r="L4" s="52">
        <v>60</v>
      </c>
      <c r="M4" s="52">
        <v>90</v>
      </c>
      <c r="N4" s="52">
        <f>SUM(B4:M4)</f>
        <v>540</v>
      </c>
    </row>
    <row r="5" spans="1:14" ht="16.2" x14ac:dyDescent="0.25">
      <c r="A5" s="50" t="s">
        <v>191</v>
      </c>
      <c r="B5" s="52">
        <v>30</v>
      </c>
      <c r="C5" s="52">
        <v>30</v>
      </c>
      <c r="D5" s="52">
        <v>40</v>
      </c>
      <c r="E5" s="52">
        <v>30</v>
      </c>
      <c r="F5" s="52">
        <v>50</v>
      </c>
      <c r="G5" s="58">
        <v>50</v>
      </c>
      <c r="H5" s="52">
        <v>20</v>
      </c>
      <c r="I5" s="52">
        <v>30</v>
      </c>
      <c r="J5" s="52"/>
      <c r="K5" s="52">
        <v>80</v>
      </c>
      <c r="L5" s="52">
        <v>10</v>
      </c>
      <c r="M5" s="52">
        <v>20</v>
      </c>
      <c r="N5" s="52">
        <f t="shared" ref="N5:N6" si="0">SUM(B5:M5)</f>
        <v>390</v>
      </c>
    </row>
    <row r="6" spans="1:14" ht="16.2" x14ac:dyDescent="0.25">
      <c r="A6" s="50" t="s">
        <v>186</v>
      </c>
      <c r="B6" s="52">
        <v>1700</v>
      </c>
      <c r="C6" s="52">
        <v>2020</v>
      </c>
      <c r="D6" s="52">
        <v>1520</v>
      </c>
      <c r="E6" s="52">
        <v>1680</v>
      </c>
      <c r="F6" s="52">
        <v>2440</v>
      </c>
      <c r="G6" s="58">
        <v>1900</v>
      </c>
      <c r="H6" s="52">
        <v>1940</v>
      </c>
      <c r="I6" s="52">
        <v>1740</v>
      </c>
      <c r="J6" s="52">
        <v>1960</v>
      </c>
      <c r="K6" s="52">
        <v>1800</v>
      </c>
      <c r="L6" s="52">
        <v>1580</v>
      </c>
      <c r="M6" s="52">
        <v>1880</v>
      </c>
      <c r="N6" s="52">
        <f t="shared" si="0"/>
        <v>22160</v>
      </c>
    </row>
    <row r="7" spans="1:14" ht="16.2" x14ac:dyDescent="0.25">
      <c r="A7" s="50" t="s">
        <v>59</v>
      </c>
      <c r="B7" s="52"/>
      <c r="C7" s="52">
        <v>20</v>
      </c>
      <c r="D7" s="52"/>
      <c r="E7" s="52"/>
      <c r="F7" s="52">
        <v>20</v>
      </c>
      <c r="G7" s="58">
        <v>20</v>
      </c>
      <c r="H7" s="52">
        <v>60</v>
      </c>
      <c r="I7" s="52"/>
      <c r="J7" s="52"/>
      <c r="K7" s="52"/>
      <c r="L7" s="52"/>
      <c r="M7" s="52"/>
      <c r="N7" s="52">
        <f>SUM(B7:M7)</f>
        <v>120</v>
      </c>
    </row>
    <row r="8" spans="1:14" ht="16.2" x14ac:dyDescent="0.25">
      <c r="A8" s="50" t="s">
        <v>187</v>
      </c>
      <c r="B8" s="52">
        <v>1600</v>
      </c>
      <c r="C8" s="52">
        <v>1720</v>
      </c>
      <c r="D8" s="52">
        <v>1860</v>
      </c>
      <c r="E8" s="52">
        <v>2000</v>
      </c>
      <c r="F8" s="52">
        <v>2720</v>
      </c>
      <c r="G8" s="58">
        <v>2040</v>
      </c>
      <c r="H8" s="52">
        <v>2260</v>
      </c>
      <c r="I8" s="52">
        <v>1940</v>
      </c>
      <c r="J8" s="52">
        <v>1780</v>
      </c>
      <c r="K8" s="52">
        <v>1880</v>
      </c>
      <c r="L8" s="52">
        <v>1620</v>
      </c>
      <c r="M8" s="52">
        <v>1600</v>
      </c>
      <c r="N8" s="52">
        <f>SUM(B8:M8)</f>
        <v>23020</v>
      </c>
    </row>
    <row r="9" spans="1:14" ht="16.2" x14ac:dyDescent="0.25">
      <c r="A9" s="50" t="s">
        <v>188</v>
      </c>
      <c r="B9" s="52"/>
      <c r="C9" s="52"/>
      <c r="D9" s="52"/>
      <c r="E9" s="52"/>
      <c r="F9" s="52"/>
      <c r="G9" s="58"/>
      <c r="H9" s="52"/>
      <c r="I9" s="52"/>
      <c r="J9" s="52"/>
      <c r="K9" s="52"/>
      <c r="L9" s="52"/>
      <c r="M9" s="52"/>
      <c r="N9" s="52">
        <f>SUM(B9:M9)</f>
        <v>0</v>
      </c>
    </row>
    <row r="10" spans="1:14" ht="16.2" x14ac:dyDescent="0.25">
      <c r="A10" s="50" t="s">
        <v>134</v>
      </c>
      <c r="B10" s="52"/>
      <c r="C10" s="52"/>
      <c r="D10" s="52"/>
      <c r="E10" s="52"/>
      <c r="F10" s="52">
        <v>73</v>
      </c>
      <c r="G10" s="58">
        <v>192</v>
      </c>
      <c r="H10" s="52">
        <v>318</v>
      </c>
      <c r="I10" s="52">
        <v>248</v>
      </c>
      <c r="J10" s="52">
        <v>143</v>
      </c>
      <c r="K10" s="52"/>
      <c r="L10" s="52"/>
      <c r="M10" s="52"/>
      <c r="N10" s="52">
        <f>SUM(B10:M10)</f>
        <v>974</v>
      </c>
    </row>
    <row r="11" spans="1:14" ht="16.2" x14ac:dyDescent="0.25">
      <c r="A11" s="50" t="s">
        <v>135</v>
      </c>
      <c r="B11" s="52">
        <v>31</v>
      </c>
      <c r="C11" s="52">
        <v>21</v>
      </c>
      <c r="D11" s="52">
        <v>49</v>
      </c>
      <c r="E11" s="52">
        <v>163</v>
      </c>
      <c r="F11" s="52">
        <v>122</v>
      </c>
      <c r="G11" s="58"/>
      <c r="H11" s="52"/>
      <c r="I11" s="52"/>
      <c r="J11" s="52"/>
      <c r="K11" s="52">
        <v>59</v>
      </c>
      <c r="L11" s="52">
        <v>37</v>
      </c>
      <c r="M11" s="52">
        <v>11</v>
      </c>
      <c r="N11" s="52">
        <f t="shared" ref="N11:N52" si="1">SUM(B11:M11)</f>
        <v>493</v>
      </c>
    </row>
    <row r="12" spans="1:14" ht="16.2" x14ac:dyDescent="0.25">
      <c r="A12" s="50" t="s">
        <v>60</v>
      </c>
      <c r="B12" s="52">
        <v>1775</v>
      </c>
      <c r="C12" s="52">
        <v>1850</v>
      </c>
      <c r="D12" s="52">
        <v>1750</v>
      </c>
      <c r="E12" s="52">
        <v>2000</v>
      </c>
      <c r="F12" s="52">
        <v>2775</v>
      </c>
      <c r="G12" s="58">
        <v>2550</v>
      </c>
      <c r="H12" s="52">
        <v>3200</v>
      </c>
      <c r="I12" s="52">
        <v>2500</v>
      </c>
      <c r="J12" s="52">
        <v>2600</v>
      </c>
      <c r="K12" s="52">
        <v>2325</v>
      </c>
      <c r="L12" s="52">
        <v>2050</v>
      </c>
      <c r="M12" s="52">
        <v>2100</v>
      </c>
      <c r="N12" s="52">
        <f t="shared" si="1"/>
        <v>27475</v>
      </c>
    </row>
    <row r="13" spans="1:14" ht="16.2" x14ac:dyDescent="0.25">
      <c r="A13" s="50" t="s">
        <v>111</v>
      </c>
      <c r="B13" s="52"/>
      <c r="C13" s="52"/>
      <c r="D13" s="52"/>
      <c r="E13" s="52"/>
      <c r="F13" s="52">
        <v>1141</v>
      </c>
      <c r="G13" s="58">
        <v>2724</v>
      </c>
      <c r="H13" s="52">
        <v>4556</v>
      </c>
      <c r="I13" s="52">
        <v>4051</v>
      </c>
      <c r="J13" s="52">
        <v>2766</v>
      </c>
      <c r="K13" s="52"/>
      <c r="L13" s="52"/>
      <c r="M13" s="52"/>
      <c r="N13" s="52">
        <f t="shared" si="1"/>
        <v>15238</v>
      </c>
    </row>
    <row r="14" spans="1:14" ht="16.2" x14ac:dyDescent="0.25">
      <c r="A14" s="50" t="s">
        <v>136</v>
      </c>
      <c r="B14" s="52">
        <v>1578</v>
      </c>
      <c r="C14" s="52">
        <v>1516</v>
      </c>
      <c r="D14" s="52">
        <v>1827</v>
      </c>
      <c r="E14" s="52">
        <v>2430</v>
      </c>
      <c r="F14" s="52">
        <v>1395</v>
      </c>
      <c r="G14" s="58"/>
      <c r="H14" s="52"/>
      <c r="I14" s="52"/>
      <c r="J14" s="52"/>
      <c r="K14" s="52">
        <v>1884</v>
      </c>
      <c r="L14" s="52">
        <v>2043</v>
      </c>
      <c r="M14" s="52">
        <v>1947</v>
      </c>
      <c r="N14" s="52">
        <f t="shared" si="1"/>
        <v>14620</v>
      </c>
    </row>
    <row r="15" spans="1:14" ht="16.2" x14ac:dyDescent="0.25">
      <c r="A15" s="50" t="s">
        <v>127</v>
      </c>
      <c r="B15" s="52"/>
      <c r="C15" s="52"/>
      <c r="D15" s="52"/>
      <c r="E15" s="52"/>
      <c r="F15" s="52">
        <v>1282</v>
      </c>
      <c r="G15" s="58">
        <v>2847</v>
      </c>
      <c r="H15" s="52">
        <v>3689</v>
      </c>
      <c r="I15" s="52">
        <v>3443</v>
      </c>
      <c r="J15" s="52">
        <v>2593</v>
      </c>
      <c r="K15" s="52"/>
      <c r="L15" s="52"/>
      <c r="M15" s="52"/>
      <c r="N15" s="52">
        <f t="shared" si="1"/>
        <v>13854</v>
      </c>
    </row>
    <row r="16" spans="1:14" ht="16.2" x14ac:dyDescent="0.25">
      <c r="A16" s="50" t="s">
        <v>137</v>
      </c>
      <c r="B16" s="52">
        <v>2219</v>
      </c>
      <c r="C16" s="52">
        <v>2137</v>
      </c>
      <c r="D16" s="52">
        <v>2479</v>
      </c>
      <c r="E16" s="52">
        <v>2898</v>
      </c>
      <c r="F16" s="52">
        <v>1664</v>
      </c>
      <c r="G16" s="58"/>
      <c r="H16" s="52"/>
      <c r="I16" s="52"/>
      <c r="J16" s="52"/>
      <c r="K16" s="52">
        <v>2216</v>
      </c>
      <c r="L16" s="52">
        <v>2235</v>
      </c>
      <c r="M16" s="52">
        <v>2487</v>
      </c>
      <c r="N16" s="52">
        <f t="shared" si="1"/>
        <v>18335</v>
      </c>
    </row>
    <row r="17" spans="1:14" ht="16.2" x14ac:dyDescent="0.25">
      <c r="A17" s="50" t="s">
        <v>8</v>
      </c>
      <c r="B17" s="52"/>
      <c r="C17" s="52"/>
      <c r="D17" s="52"/>
      <c r="E17" s="52"/>
      <c r="F17" s="52">
        <v>2</v>
      </c>
      <c r="G17" s="58">
        <v>13</v>
      </c>
      <c r="H17" s="52">
        <v>8</v>
      </c>
      <c r="I17" s="52">
        <v>1</v>
      </c>
      <c r="J17" s="52">
        <v>1</v>
      </c>
      <c r="K17" s="52">
        <v>1</v>
      </c>
      <c r="L17" s="52"/>
      <c r="M17" s="52"/>
      <c r="N17" s="52">
        <f t="shared" si="1"/>
        <v>26</v>
      </c>
    </row>
    <row r="18" spans="1:14" ht="16.2" x14ac:dyDescent="0.25">
      <c r="A18" s="50" t="s">
        <v>62</v>
      </c>
      <c r="B18" s="52">
        <v>1</v>
      </c>
      <c r="C18" s="52">
        <v>5</v>
      </c>
      <c r="D18" s="52">
        <v>1</v>
      </c>
      <c r="E18" s="52">
        <v>1</v>
      </c>
      <c r="F18" s="52">
        <v>2</v>
      </c>
      <c r="G18" s="58">
        <v>4</v>
      </c>
      <c r="H18" s="52">
        <v>2</v>
      </c>
      <c r="I18" s="52">
        <v>2</v>
      </c>
      <c r="J18" s="52"/>
      <c r="K18" s="52"/>
      <c r="L18" s="52"/>
      <c r="M18" s="52">
        <v>1</v>
      </c>
      <c r="N18" s="52">
        <f t="shared" si="1"/>
        <v>19</v>
      </c>
    </row>
    <row r="19" spans="1:14" ht="16.2" x14ac:dyDescent="0.25">
      <c r="A19" s="50" t="s">
        <v>138</v>
      </c>
      <c r="B19" s="52"/>
      <c r="C19" s="52"/>
      <c r="D19" s="52"/>
      <c r="E19" s="52"/>
      <c r="F19" s="52">
        <v>16</v>
      </c>
      <c r="G19" s="58">
        <v>26</v>
      </c>
      <c r="H19" s="52">
        <v>54</v>
      </c>
      <c r="I19" s="52">
        <v>49</v>
      </c>
      <c r="J19" s="52">
        <v>35</v>
      </c>
      <c r="K19" s="52"/>
      <c r="L19" s="52"/>
      <c r="M19" s="52"/>
      <c r="N19" s="52">
        <f t="shared" si="1"/>
        <v>180</v>
      </c>
    </row>
    <row r="20" spans="1:14" ht="16.2" x14ac:dyDescent="0.25">
      <c r="A20" s="50" t="s">
        <v>139</v>
      </c>
      <c r="B20" s="52">
        <v>6</v>
      </c>
      <c r="C20" s="52">
        <v>9</v>
      </c>
      <c r="D20" s="52">
        <v>16</v>
      </c>
      <c r="E20" s="52">
        <v>22</v>
      </c>
      <c r="F20" s="52">
        <v>17</v>
      </c>
      <c r="G20" s="58"/>
      <c r="H20" s="52"/>
      <c r="I20" s="52"/>
      <c r="J20" s="52"/>
      <c r="K20" s="52">
        <v>17</v>
      </c>
      <c r="L20" s="52">
        <v>6</v>
      </c>
      <c r="M20" s="52">
        <v>1</v>
      </c>
      <c r="N20" s="52">
        <f t="shared" si="1"/>
        <v>94</v>
      </c>
    </row>
    <row r="21" spans="1:14" ht="16.2" x14ac:dyDescent="0.25">
      <c r="A21" s="50" t="s">
        <v>11</v>
      </c>
      <c r="B21" s="52">
        <v>18</v>
      </c>
      <c r="C21" s="52">
        <v>19</v>
      </c>
      <c r="D21" s="52">
        <v>23</v>
      </c>
      <c r="E21" s="52">
        <v>15</v>
      </c>
      <c r="F21" s="52">
        <v>20</v>
      </c>
      <c r="G21" s="58">
        <v>16</v>
      </c>
      <c r="H21" s="52"/>
      <c r="I21" s="52"/>
      <c r="J21" s="52">
        <v>17</v>
      </c>
      <c r="K21" s="52">
        <v>20</v>
      </c>
      <c r="L21" s="52">
        <v>19</v>
      </c>
      <c r="M21" s="52">
        <v>14</v>
      </c>
      <c r="N21" s="52">
        <f>SUM(B21:M21)</f>
        <v>181</v>
      </c>
    </row>
    <row r="22" spans="1:14" ht="16.2" x14ac:dyDescent="0.25">
      <c r="A22" s="50" t="s">
        <v>12</v>
      </c>
      <c r="B22" s="52"/>
      <c r="C22" s="52">
        <v>1</v>
      </c>
      <c r="D22" s="52">
        <v>1</v>
      </c>
      <c r="E22" s="52"/>
      <c r="F22" s="52">
        <v>3</v>
      </c>
      <c r="G22" s="58">
        <v>2</v>
      </c>
      <c r="H22" s="65">
        <v>4</v>
      </c>
      <c r="I22" s="52">
        <v>2</v>
      </c>
      <c r="J22" s="52">
        <v>6</v>
      </c>
      <c r="K22" s="52">
        <v>3</v>
      </c>
      <c r="L22" s="52">
        <v>2</v>
      </c>
      <c r="M22" s="52">
        <v>1</v>
      </c>
      <c r="N22" s="52">
        <f t="shared" si="1"/>
        <v>25</v>
      </c>
    </row>
    <row r="23" spans="1:14" ht="16.2" x14ac:dyDescent="0.25">
      <c r="A23" s="50" t="s">
        <v>145</v>
      </c>
      <c r="B23" s="52"/>
      <c r="C23" s="52"/>
      <c r="D23" s="52"/>
      <c r="E23" s="52"/>
      <c r="F23" s="52">
        <v>411</v>
      </c>
      <c r="G23" s="58">
        <v>1003</v>
      </c>
      <c r="H23" s="52">
        <v>1195</v>
      </c>
      <c r="I23" s="52">
        <v>1176</v>
      </c>
      <c r="J23" s="52">
        <v>1042</v>
      </c>
      <c r="K23" s="52"/>
      <c r="L23" s="52"/>
      <c r="M23" s="52"/>
      <c r="N23" s="52">
        <f>SUM(B23:M23)</f>
        <v>4827</v>
      </c>
    </row>
    <row r="24" spans="1:14" ht="16.2" x14ac:dyDescent="0.25">
      <c r="A24" s="50" t="s">
        <v>146</v>
      </c>
      <c r="B24" s="52">
        <v>731</v>
      </c>
      <c r="C24" s="52">
        <v>755</v>
      </c>
      <c r="D24" s="52">
        <v>867</v>
      </c>
      <c r="E24" s="52">
        <v>1025</v>
      </c>
      <c r="F24" s="52">
        <v>670</v>
      </c>
      <c r="G24" s="58"/>
      <c r="H24" s="52"/>
      <c r="I24" s="52"/>
      <c r="J24" s="52"/>
      <c r="K24" s="52">
        <v>864</v>
      </c>
      <c r="L24" s="52">
        <v>809</v>
      </c>
      <c r="M24" s="52">
        <v>809</v>
      </c>
      <c r="N24" s="52">
        <f>SUM(B24:M24)</f>
        <v>6530</v>
      </c>
    </row>
    <row r="25" spans="1:14" ht="16.2" x14ac:dyDescent="0.25">
      <c r="A25" s="50" t="s">
        <v>184</v>
      </c>
      <c r="B25" s="52"/>
      <c r="C25" s="52"/>
      <c r="D25" s="52"/>
      <c r="E25" s="52"/>
      <c r="F25" s="52">
        <v>688</v>
      </c>
      <c r="G25" s="58">
        <v>1388</v>
      </c>
      <c r="H25" s="52">
        <v>2621</v>
      </c>
      <c r="I25" s="52">
        <v>2418</v>
      </c>
      <c r="J25" s="52">
        <v>1294</v>
      </c>
      <c r="K25" s="52"/>
      <c r="L25" s="52"/>
      <c r="M25" s="52"/>
      <c r="N25" s="52">
        <f>SUM(B25:M25)</f>
        <v>8409</v>
      </c>
    </row>
    <row r="26" spans="1:14" ht="16.2" x14ac:dyDescent="0.25">
      <c r="A26" s="50" t="s">
        <v>183</v>
      </c>
      <c r="B26" s="52">
        <v>647</v>
      </c>
      <c r="C26" s="52">
        <v>728</v>
      </c>
      <c r="D26" s="52">
        <v>835</v>
      </c>
      <c r="E26" s="52">
        <v>1280</v>
      </c>
      <c r="F26" s="52">
        <v>659</v>
      </c>
      <c r="G26" s="58"/>
      <c r="H26" s="52"/>
      <c r="I26" s="52"/>
      <c r="J26" s="52"/>
      <c r="K26" s="52">
        <v>755</v>
      </c>
      <c r="L26" s="52">
        <v>820</v>
      </c>
      <c r="M26" s="52">
        <v>801</v>
      </c>
      <c r="N26" s="52">
        <f>SUM(B26:M26)</f>
        <v>6525</v>
      </c>
    </row>
    <row r="27" spans="1:14" ht="16.2" x14ac:dyDescent="0.25">
      <c r="A27" s="50" t="s">
        <v>140</v>
      </c>
      <c r="B27" s="52"/>
      <c r="C27" s="52"/>
      <c r="D27" s="52"/>
      <c r="E27" s="52"/>
      <c r="F27" s="52">
        <v>2</v>
      </c>
      <c r="G27" s="58">
        <v>6</v>
      </c>
      <c r="H27" s="52">
        <v>10</v>
      </c>
      <c r="I27" s="52">
        <v>8</v>
      </c>
      <c r="J27" s="52">
        <v>14</v>
      </c>
      <c r="K27" s="52"/>
      <c r="L27" s="52"/>
      <c r="M27" s="52"/>
      <c r="N27" s="52">
        <f t="shared" si="1"/>
        <v>40</v>
      </c>
    </row>
    <row r="28" spans="1:14" ht="16.2" x14ac:dyDescent="0.25">
      <c r="A28" s="50" t="s">
        <v>141</v>
      </c>
      <c r="B28" s="52">
        <v>4</v>
      </c>
      <c r="C28" s="52">
        <v>7</v>
      </c>
      <c r="D28" s="52"/>
      <c r="E28" s="52">
        <v>6</v>
      </c>
      <c r="F28" s="52"/>
      <c r="G28" s="58"/>
      <c r="H28" s="52"/>
      <c r="I28" s="52"/>
      <c r="J28" s="52"/>
      <c r="K28" s="52">
        <v>1</v>
      </c>
      <c r="L28" s="52"/>
      <c r="M28" s="52"/>
      <c r="N28" s="52">
        <f t="shared" si="1"/>
        <v>18</v>
      </c>
    </row>
    <row r="29" spans="1:14" ht="16.2" x14ac:dyDescent="0.25">
      <c r="A29" s="50" t="s">
        <v>91</v>
      </c>
      <c r="B29" s="52"/>
      <c r="C29" s="52"/>
      <c r="D29" s="52"/>
      <c r="E29" s="52"/>
      <c r="F29" s="52"/>
      <c r="G29" s="58"/>
      <c r="H29" s="52"/>
      <c r="I29" s="52"/>
      <c r="J29" s="52"/>
      <c r="K29" s="52"/>
      <c r="L29" s="52"/>
      <c r="M29" s="52"/>
      <c r="N29" s="52">
        <f>SUM(B29:M29)</f>
        <v>0</v>
      </c>
    </row>
    <row r="30" spans="1:14" ht="16.2" x14ac:dyDescent="0.25">
      <c r="A30" s="50" t="s">
        <v>15</v>
      </c>
      <c r="B30" s="52">
        <v>1575</v>
      </c>
      <c r="C30" s="52">
        <v>1350</v>
      </c>
      <c r="D30" s="52">
        <v>1900</v>
      </c>
      <c r="E30" s="52">
        <v>1800</v>
      </c>
      <c r="F30" s="52">
        <v>2150</v>
      </c>
      <c r="G30" s="58">
        <v>2975</v>
      </c>
      <c r="H30" s="52">
        <v>2575</v>
      </c>
      <c r="I30" s="52">
        <v>2200</v>
      </c>
      <c r="J30" s="52">
        <v>1975</v>
      </c>
      <c r="K30" s="52">
        <v>1800</v>
      </c>
      <c r="L30" s="52">
        <v>1825</v>
      </c>
      <c r="M30" s="52">
        <v>1650</v>
      </c>
      <c r="N30" s="52">
        <f>SUM(B30:M30)</f>
        <v>23775</v>
      </c>
    </row>
    <row r="31" spans="1:14" ht="16.2" x14ac:dyDescent="0.25">
      <c r="A31" s="50" t="s">
        <v>116</v>
      </c>
      <c r="B31" s="52"/>
      <c r="C31" s="52"/>
      <c r="D31" s="52"/>
      <c r="E31" s="52"/>
      <c r="F31" s="52">
        <v>33</v>
      </c>
      <c r="G31" s="58">
        <v>71</v>
      </c>
      <c r="H31" s="52">
        <v>126</v>
      </c>
      <c r="I31" s="52">
        <v>126</v>
      </c>
      <c r="J31" s="52">
        <v>61</v>
      </c>
      <c r="K31" s="52"/>
      <c r="L31" s="52"/>
      <c r="M31" s="52"/>
      <c r="N31" s="52">
        <f>SUM(B31:M31)</f>
        <v>417</v>
      </c>
    </row>
    <row r="32" spans="1:14" ht="16.2" x14ac:dyDescent="0.25">
      <c r="A32" s="50" t="s">
        <v>142</v>
      </c>
      <c r="B32" s="52">
        <v>14</v>
      </c>
      <c r="C32" s="52">
        <v>16</v>
      </c>
      <c r="D32" s="52">
        <v>17</v>
      </c>
      <c r="E32" s="52">
        <v>73</v>
      </c>
      <c r="F32" s="52">
        <v>52</v>
      </c>
      <c r="G32" s="58"/>
      <c r="H32" s="52"/>
      <c r="I32" s="52"/>
      <c r="J32" s="52"/>
      <c r="K32" s="52">
        <v>18</v>
      </c>
      <c r="L32" s="52">
        <v>9</v>
      </c>
      <c r="M32" s="52">
        <v>10</v>
      </c>
      <c r="N32" s="52">
        <f>SUM(B32:M32)</f>
        <v>209</v>
      </c>
    </row>
    <row r="33" spans="1:14" ht="16.2" x14ac:dyDescent="0.25">
      <c r="A33" s="50" t="s">
        <v>118</v>
      </c>
      <c r="B33" s="52"/>
      <c r="C33" s="52"/>
      <c r="D33" s="52"/>
      <c r="E33" s="52"/>
      <c r="F33" s="52">
        <v>81</v>
      </c>
      <c r="G33" s="58">
        <v>310</v>
      </c>
      <c r="H33" s="52">
        <v>262</v>
      </c>
      <c r="I33" s="52">
        <v>275</v>
      </c>
      <c r="J33" s="52">
        <v>218</v>
      </c>
      <c r="K33" s="52"/>
      <c r="L33" s="52"/>
      <c r="M33" s="52"/>
      <c r="N33" s="52">
        <f t="shared" si="1"/>
        <v>1146</v>
      </c>
    </row>
    <row r="34" spans="1:14" ht="16.2" x14ac:dyDescent="0.25">
      <c r="A34" s="50" t="s">
        <v>147</v>
      </c>
      <c r="B34" s="52">
        <v>147</v>
      </c>
      <c r="C34" s="52">
        <v>163</v>
      </c>
      <c r="D34" s="52">
        <v>220</v>
      </c>
      <c r="E34" s="52">
        <v>226</v>
      </c>
      <c r="F34" s="52">
        <v>112</v>
      </c>
      <c r="G34" s="58"/>
      <c r="H34" s="52"/>
      <c r="I34" s="52"/>
      <c r="J34" s="52"/>
      <c r="K34" s="52">
        <v>222</v>
      </c>
      <c r="L34" s="52">
        <v>251</v>
      </c>
      <c r="M34" s="52">
        <v>149</v>
      </c>
      <c r="N34" s="52">
        <f t="shared" si="1"/>
        <v>1490</v>
      </c>
    </row>
    <row r="35" spans="1:14" ht="16.2" x14ac:dyDescent="0.25">
      <c r="A35" s="50" t="s">
        <v>119</v>
      </c>
      <c r="B35" s="52"/>
      <c r="C35" s="52"/>
      <c r="D35" s="52"/>
      <c r="E35" s="52"/>
      <c r="F35" s="52">
        <v>39</v>
      </c>
      <c r="G35" s="58">
        <v>149</v>
      </c>
      <c r="H35" s="52">
        <v>126</v>
      </c>
      <c r="I35" s="52">
        <v>103</v>
      </c>
      <c r="J35" s="52">
        <v>99</v>
      </c>
      <c r="K35" s="52"/>
      <c r="L35" s="52"/>
      <c r="M35" s="52"/>
      <c r="N35" s="52">
        <f t="shared" si="1"/>
        <v>516</v>
      </c>
    </row>
    <row r="36" spans="1:14" ht="16.2" x14ac:dyDescent="0.25">
      <c r="A36" s="50" t="s">
        <v>148</v>
      </c>
      <c r="B36" s="52">
        <v>89</v>
      </c>
      <c r="C36" s="52">
        <v>66</v>
      </c>
      <c r="D36" s="52">
        <v>156</v>
      </c>
      <c r="E36" s="52">
        <v>165</v>
      </c>
      <c r="F36" s="52">
        <v>87</v>
      </c>
      <c r="G36" s="58"/>
      <c r="H36" s="52"/>
      <c r="I36" s="52"/>
      <c r="J36" s="52"/>
      <c r="K36" s="52">
        <v>129</v>
      </c>
      <c r="L36" s="52">
        <v>99</v>
      </c>
      <c r="M36" s="52">
        <v>116</v>
      </c>
      <c r="N36" s="52">
        <f t="shared" si="1"/>
        <v>907</v>
      </c>
    </row>
    <row r="37" spans="1:14" ht="16.2" x14ac:dyDescent="0.25">
      <c r="A37" s="50" t="s">
        <v>120</v>
      </c>
      <c r="B37" s="52"/>
      <c r="C37" s="52"/>
      <c r="D37" s="52"/>
      <c r="E37" s="52"/>
      <c r="F37" s="52">
        <v>24</v>
      </c>
      <c r="G37" s="58">
        <v>83</v>
      </c>
      <c r="H37" s="52">
        <v>83</v>
      </c>
      <c r="I37" s="52">
        <v>81</v>
      </c>
      <c r="J37" s="52">
        <v>75</v>
      </c>
      <c r="K37" s="52"/>
      <c r="L37" s="52"/>
      <c r="M37" s="52"/>
      <c r="N37" s="52">
        <f t="shared" si="1"/>
        <v>346</v>
      </c>
    </row>
    <row r="38" spans="1:14" ht="16.2" x14ac:dyDescent="0.25">
      <c r="A38" s="50" t="s">
        <v>149</v>
      </c>
      <c r="B38" s="52">
        <v>36</v>
      </c>
      <c r="C38" s="52">
        <v>45</v>
      </c>
      <c r="D38" s="52">
        <v>52</v>
      </c>
      <c r="E38" s="52">
        <v>78</v>
      </c>
      <c r="F38" s="52">
        <v>32</v>
      </c>
      <c r="G38" s="58"/>
      <c r="H38" s="52"/>
      <c r="I38" s="52"/>
      <c r="J38" s="52"/>
      <c r="K38" s="52">
        <v>53</v>
      </c>
      <c r="L38" s="52">
        <v>49</v>
      </c>
      <c r="M38" s="52">
        <v>39</v>
      </c>
      <c r="N38" s="52">
        <f t="shared" si="1"/>
        <v>384</v>
      </c>
    </row>
    <row r="39" spans="1:14" ht="16.2" x14ac:dyDescent="0.25">
      <c r="A39" s="50" t="s">
        <v>121</v>
      </c>
      <c r="B39" s="52"/>
      <c r="C39" s="52"/>
      <c r="D39" s="52"/>
      <c r="E39" s="52"/>
      <c r="F39" s="52">
        <v>25</v>
      </c>
      <c r="G39" s="58">
        <v>90</v>
      </c>
      <c r="H39" s="52">
        <v>100</v>
      </c>
      <c r="I39" s="52">
        <v>65</v>
      </c>
      <c r="J39" s="52">
        <v>55</v>
      </c>
      <c r="K39" s="52"/>
      <c r="L39" s="52"/>
      <c r="M39" s="52"/>
      <c r="N39" s="52">
        <f t="shared" si="1"/>
        <v>335</v>
      </c>
    </row>
    <row r="40" spans="1:14" ht="16.2" x14ac:dyDescent="0.25">
      <c r="A40" s="50" t="s">
        <v>150</v>
      </c>
      <c r="B40" s="52">
        <v>31</v>
      </c>
      <c r="C40" s="52">
        <v>18</v>
      </c>
      <c r="D40" s="52">
        <v>47</v>
      </c>
      <c r="E40" s="52">
        <v>60</v>
      </c>
      <c r="F40" s="52">
        <v>23</v>
      </c>
      <c r="G40" s="58"/>
      <c r="H40" s="52"/>
      <c r="I40" s="52"/>
      <c r="J40" s="52"/>
      <c r="K40" s="52">
        <v>40</v>
      </c>
      <c r="L40" s="52">
        <v>44</v>
      </c>
      <c r="M40" s="52">
        <v>32</v>
      </c>
      <c r="N40" s="52">
        <f t="shared" si="1"/>
        <v>295</v>
      </c>
    </row>
    <row r="41" spans="1:14" ht="16.2" x14ac:dyDescent="0.25">
      <c r="A41" s="50" t="s">
        <v>122</v>
      </c>
      <c r="B41" s="52"/>
      <c r="C41" s="52"/>
      <c r="D41" s="52"/>
      <c r="E41" s="52"/>
      <c r="F41" s="52">
        <v>10</v>
      </c>
      <c r="G41" s="58">
        <v>25</v>
      </c>
      <c r="H41" s="52">
        <v>28</v>
      </c>
      <c r="I41" s="52">
        <v>43</v>
      </c>
      <c r="J41" s="52">
        <v>22</v>
      </c>
      <c r="K41" s="52"/>
      <c r="L41" s="52"/>
      <c r="M41" s="52"/>
      <c r="N41" s="52">
        <f t="shared" si="1"/>
        <v>128</v>
      </c>
    </row>
    <row r="42" spans="1:14" ht="16.2" x14ac:dyDescent="0.25">
      <c r="A42" s="50" t="s">
        <v>151</v>
      </c>
      <c r="B42" s="52">
        <v>7</v>
      </c>
      <c r="C42" s="52">
        <v>7</v>
      </c>
      <c r="D42" s="52">
        <v>11</v>
      </c>
      <c r="E42" s="52">
        <v>19</v>
      </c>
      <c r="F42" s="52">
        <v>12</v>
      </c>
      <c r="G42" s="58"/>
      <c r="H42" s="52"/>
      <c r="I42" s="52"/>
      <c r="J42" s="52"/>
      <c r="K42" s="52">
        <v>21</v>
      </c>
      <c r="L42" s="52">
        <v>17</v>
      </c>
      <c r="M42" s="52">
        <v>8</v>
      </c>
      <c r="N42" s="52">
        <f t="shared" si="1"/>
        <v>102</v>
      </c>
    </row>
    <row r="43" spans="1:14" ht="16.2" x14ac:dyDescent="0.25">
      <c r="A43" s="50" t="s">
        <v>123</v>
      </c>
      <c r="B43" s="52"/>
      <c r="C43" s="52"/>
      <c r="D43" s="52"/>
      <c r="E43" s="52"/>
      <c r="F43" s="52">
        <v>3</v>
      </c>
      <c r="G43" s="58">
        <v>11</v>
      </c>
      <c r="H43" s="52">
        <v>16</v>
      </c>
      <c r="I43" s="52">
        <v>14</v>
      </c>
      <c r="J43" s="52">
        <v>8</v>
      </c>
      <c r="K43" s="52"/>
      <c r="L43" s="52"/>
      <c r="M43" s="52"/>
      <c r="N43" s="52">
        <f t="shared" si="1"/>
        <v>52</v>
      </c>
    </row>
    <row r="44" spans="1:14" ht="16.2" x14ac:dyDescent="0.25">
      <c r="A44" s="50" t="s">
        <v>152</v>
      </c>
      <c r="B44" s="52">
        <v>3</v>
      </c>
      <c r="C44" s="52">
        <v>3</v>
      </c>
      <c r="D44" s="52">
        <v>7</v>
      </c>
      <c r="E44" s="52">
        <v>8</v>
      </c>
      <c r="F44" s="52">
        <v>5</v>
      </c>
      <c r="G44" s="58"/>
      <c r="H44" s="52"/>
      <c r="I44" s="52"/>
      <c r="J44" s="52"/>
      <c r="K44" s="52">
        <v>8</v>
      </c>
      <c r="L44" s="52">
        <v>6</v>
      </c>
      <c r="M44" s="52">
        <v>4</v>
      </c>
      <c r="N44" s="52">
        <f t="shared" si="1"/>
        <v>44</v>
      </c>
    </row>
    <row r="45" spans="1:14" ht="16.2" x14ac:dyDescent="0.25">
      <c r="A45" s="50" t="s">
        <v>124</v>
      </c>
      <c r="B45" s="52"/>
      <c r="C45" s="52"/>
      <c r="D45" s="52"/>
      <c r="E45" s="52"/>
      <c r="F45" s="52">
        <v>2</v>
      </c>
      <c r="G45" s="58">
        <v>3</v>
      </c>
      <c r="H45" s="52">
        <v>4</v>
      </c>
      <c r="I45" s="52">
        <v>1</v>
      </c>
      <c r="J45" s="52">
        <v>2</v>
      </c>
      <c r="K45" s="52"/>
      <c r="L45" s="52"/>
      <c r="M45" s="52"/>
      <c r="N45" s="52">
        <f t="shared" si="1"/>
        <v>12</v>
      </c>
    </row>
    <row r="46" spans="1:14" ht="16.2" x14ac:dyDescent="0.25">
      <c r="A46" s="50" t="s">
        <v>153</v>
      </c>
      <c r="B46" s="52">
        <v>1</v>
      </c>
      <c r="C46" s="52">
        <v>2</v>
      </c>
      <c r="D46" s="52"/>
      <c r="E46" s="52">
        <v>5</v>
      </c>
      <c r="F46" s="52">
        <v>2</v>
      </c>
      <c r="G46" s="58"/>
      <c r="H46" s="52"/>
      <c r="I46" s="52"/>
      <c r="J46" s="52"/>
      <c r="K46" s="52">
        <v>3</v>
      </c>
      <c r="L46" s="52">
        <v>1</v>
      </c>
      <c r="M46" s="52">
        <v>1</v>
      </c>
      <c r="N46" s="52">
        <f t="shared" si="1"/>
        <v>15</v>
      </c>
    </row>
    <row r="47" spans="1:14" ht="16.2" x14ac:dyDescent="0.25">
      <c r="A47" s="50" t="s">
        <v>125</v>
      </c>
      <c r="B47" s="52"/>
      <c r="C47" s="52"/>
      <c r="D47" s="52"/>
      <c r="E47" s="52"/>
      <c r="F47" s="52">
        <v>1</v>
      </c>
      <c r="G47" s="58">
        <v>2</v>
      </c>
      <c r="H47" s="52"/>
      <c r="I47" s="52">
        <v>2</v>
      </c>
      <c r="J47" s="52"/>
      <c r="K47" s="52"/>
      <c r="L47" s="52"/>
      <c r="M47" s="52"/>
      <c r="N47" s="52">
        <f t="shared" si="1"/>
        <v>5</v>
      </c>
    </row>
    <row r="48" spans="1:14" ht="16.2" x14ac:dyDescent="0.25">
      <c r="A48" s="50" t="s">
        <v>154</v>
      </c>
      <c r="B48" s="52"/>
      <c r="C48" s="52">
        <v>1</v>
      </c>
      <c r="D48" s="52">
        <v>3</v>
      </c>
      <c r="E48" s="52">
        <v>1</v>
      </c>
      <c r="F48" s="52"/>
      <c r="G48" s="58"/>
      <c r="H48" s="52"/>
      <c r="I48" s="52"/>
      <c r="J48" s="52"/>
      <c r="K48" s="52">
        <v>2</v>
      </c>
      <c r="L48" s="52">
        <v>2</v>
      </c>
      <c r="M48" s="52">
        <v>1</v>
      </c>
      <c r="N48" s="52">
        <f t="shared" si="1"/>
        <v>10</v>
      </c>
    </row>
    <row r="49" spans="1:14" ht="16.2" x14ac:dyDescent="0.25">
      <c r="A49" s="50" t="s">
        <v>126</v>
      </c>
      <c r="B49" s="52"/>
      <c r="C49" s="52"/>
      <c r="D49" s="52"/>
      <c r="E49" s="52"/>
      <c r="F49" s="52"/>
      <c r="G49" s="58">
        <v>1</v>
      </c>
      <c r="H49" s="52">
        <v>3</v>
      </c>
      <c r="I49" s="52">
        <v>1</v>
      </c>
      <c r="J49" s="52">
        <v>7</v>
      </c>
      <c r="K49" s="52"/>
      <c r="L49" s="52"/>
      <c r="M49" s="52"/>
      <c r="N49" s="52">
        <f t="shared" si="1"/>
        <v>12</v>
      </c>
    </row>
    <row r="50" spans="1:14" ht="16.2" x14ac:dyDescent="0.25">
      <c r="A50" s="57" t="s">
        <v>155</v>
      </c>
      <c r="B50" s="55"/>
      <c r="C50" s="52">
        <v>1</v>
      </c>
      <c r="D50" s="52">
        <v>2</v>
      </c>
      <c r="E50" s="52">
        <v>1</v>
      </c>
      <c r="F50" s="52">
        <v>4</v>
      </c>
      <c r="G50" s="58"/>
      <c r="H50" s="52"/>
      <c r="I50" s="52"/>
      <c r="J50" s="52"/>
      <c r="K50" s="52">
        <v>3</v>
      </c>
      <c r="L50" s="52">
        <v>2</v>
      </c>
      <c r="M50" s="52">
        <v>1</v>
      </c>
      <c r="N50" s="52">
        <f t="shared" si="1"/>
        <v>14</v>
      </c>
    </row>
    <row r="51" spans="1:14" ht="16.2" x14ac:dyDescent="0.25">
      <c r="A51" s="56" t="s">
        <v>77</v>
      </c>
      <c r="B51" s="58">
        <v>18</v>
      </c>
      <c r="C51" s="52">
        <v>19</v>
      </c>
      <c r="D51" s="52">
        <v>23</v>
      </c>
      <c r="E51" s="52">
        <v>15</v>
      </c>
      <c r="F51" s="52">
        <v>20</v>
      </c>
      <c r="G51" s="52">
        <v>16</v>
      </c>
      <c r="H51" s="52"/>
      <c r="I51" s="52"/>
      <c r="J51" s="52">
        <v>17</v>
      </c>
      <c r="K51" s="52">
        <v>20</v>
      </c>
      <c r="L51" s="52">
        <v>19</v>
      </c>
      <c r="M51" s="52">
        <v>14</v>
      </c>
      <c r="N51" s="58">
        <f t="shared" si="1"/>
        <v>181</v>
      </c>
    </row>
    <row r="52" spans="1:14" ht="16.2" x14ac:dyDescent="0.25">
      <c r="A52" s="59" t="s">
        <v>26</v>
      </c>
      <c r="B52" s="58">
        <v>711</v>
      </c>
      <c r="C52" s="52">
        <v>661</v>
      </c>
      <c r="D52" s="52">
        <v>713</v>
      </c>
      <c r="E52" s="52">
        <v>701</v>
      </c>
      <c r="F52" s="52">
        <v>730</v>
      </c>
      <c r="G52" s="52">
        <v>700</v>
      </c>
      <c r="H52" s="52">
        <v>740</v>
      </c>
      <c r="I52" s="52">
        <v>752</v>
      </c>
      <c r="J52" s="52">
        <v>714</v>
      </c>
      <c r="K52" s="52">
        <v>715</v>
      </c>
      <c r="L52" s="52">
        <v>699</v>
      </c>
      <c r="M52" s="52">
        <v>713</v>
      </c>
      <c r="N52" s="58">
        <f t="shared" si="1"/>
        <v>8549</v>
      </c>
    </row>
    <row r="53" spans="1:14" ht="16.2" x14ac:dyDescent="0.25">
      <c r="A53" s="56" t="s">
        <v>158</v>
      </c>
      <c r="B53">
        <f t="shared" ref="B53:N53" si="2">SUM(B4:B52)</f>
        <v>12982</v>
      </c>
      <c r="C53">
        <f t="shared" si="2"/>
        <v>13230</v>
      </c>
      <c r="D53">
        <f t="shared" si="2"/>
        <v>14469</v>
      </c>
      <c r="E53">
        <f t="shared" si="2"/>
        <v>16732</v>
      </c>
      <c r="F53">
        <f t="shared" si="2"/>
        <v>19639</v>
      </c>
      <c r="G53">
        <f t="shared" si="2"/>
        <v>19267</v>
      </c>
      <c r="H53">
        <f t="shared" si="2"/>
        <v>24050</v>
      </c>
      <c r="I53">
        <f t="shared" si="2"/>
        <v>21321</v>
      </c>
      <c r="J53">
        <f t="shared" si="2"/>
        <v>17524</v>
      </c>
      <c r="K53">
        <f t="shared" si="2"/>
        <v>15009</v>
      </c>
      <c r="L53">
        <f t="shared" si="2"/>
        <v>14314</v>
      </c>
      <c r="M53">
        <f t="shared" si="2"/>
        <v>14500</v>
      </c>
      <c r="N53">
        <f t="shared" si="2"/>
        <v>203037</v>
      </c>
    </row>
    <row r="55" spans="1:14" ht="16.2" x14ac:dyDescent="0.25">
      <c r="A55" s="39" t="s">
        <v>86</v>
      </c>
      <c r="B55" s="40">
        <f t="shared" ref="B55:D55" si="3">+B4+B8+B5+B6</f>
        <v>3340</v>
      </c>
      <c r="C55" s="40">
        <f t="shared" si="3"/>
        <v>3810</v>
      </c>
      <c r="D55" s="40">
        <f t="shared" si="3"/>
        <v>3470</v>
      </c>
      <c r="E55" s="40">
        <f>+E4+E8+E5+E6</f>
        <v>3740</v>
      </c>
      <c r="F55" s="40">
        <f t="shared" ref="F55:N55" si="4">+F4+F8+F5+F6</f>
        <v>5230</v>
      </c>
      <c r="G55" s="40">
        <f t="shared" si="4"/>
        <v>4040</v>
      </c>
      <c r="H55" s="40">
        <f t="shared" si="4"/>
        <v>4270</v>
      </c>
      <c r="I55" s="40">
        <f t="shared" si="4"/>
        <v>3760</v>
      </c>
      <c r="J55" s="40">
        <f t="shared" si="4"/>
        <v>3760</v>
      </c>
      <c r="K55" s="40">
        <f t="shared" si="4"/>
        <v>3830</v>
      </c>
      <c r="L55" s="40">
        <f t="shared" si="4"/>
        <v>3270</v>
      </c>
      <c r="M55" s="40">
        <f t="shared" si="4"/>
        <v>3590</v>
      </c>
      <c r="N55" s="40">
        <f t="shared" si="4"/>
        <v>46110</v>
      </c>
    </row>
    <row r="56" spans="1:14" ht="16.2" x14ac:dyDescent="0.25">
      <c r="A56" s="39" t="s">
        <v>157</v>
      </c>
      <c r="B56" s="40">
        <f>+B12+B30</f>
        <v>3350</v>
      </c>
      <c r="C56" s="40">
        <f t="shared" ref="C56:M56" si="5">+C12+C30</f>
        <v>3200</v>
      </c>
      <c r="D56" s="40">
        <f t="shared" si="5"/>
        <v>3650</v>
      </c>
      <c r="E56" s="40">
        <f t="shared" si="5"/>
        <v>3800</v>
      </c>
      <c r="F56" s="40">
        <f t="shared" si="5"/>
        <v>4925</v>
      </c>
      <c r="G56" s="40">
        <f t="shared" si="5"/>
        <v>5525</v>
      </c>
      <c r="H56" s="40">
        <f t="shared" si="5"/>
        <v>5775</v>
      </c>
      <c r="I56" s="40">
        <f t="shared" si="5"/>
        <v>4700</v>
      </c>
      <c r="J56" s="40">
        <f t="shared" si="5"/>
        <v>4575</v>
      </c>
      <c r="K56" s="40">
        <f t="shared" si="5"/>
        <v>4125</v>
      </c>
      <c r="L56" s="40">
        <f t="shared" si="5"/>
        <v>3875</v>
      </c>
      <c r="M56" s="40">
        <f t="shared" si="5"/>
        <v>3750</v>
      </c>
      <c r="N56" s="40">
        <f>+N12+N30</f>
        <v>51250</v>
      </c>
    </row>
    <row r="57" spans="1:14" ht="16.2" x14ac:dyDescent="0.25">
      <c r="A57" s="33" t="s">
        <v>50</v>
      </c>
      <c r="B57" s="40">
        <f>+B4+B7+B8+B9+B15+B16+B19+B20+B23+B24+B27+B28+B33+B34+B35+B36+B37+B38+B39+B40+B41+B42+B43+B44+B45+B46+B47+B48+B49+B50</f>
        <v>4884</v>
      </c>
      <c r="C57" s="40">
        <f t="shared" ref="C57:H57" si="6">+C4+C7+C8+C9+C15+C16+C19+C20+C23+C24+C27+C28+C33+C34+C35+C36+C37+C38+C39+C40+C41+C42+C43+C44+C45+C46+C47+C48+C49+C50</f>
        <v>4994</v>
      </c>
      <c r="D57" s="40">
        <f t="shared" si="6"/>
        <v>5770</v>
      </c>
      <c r="E57" s="40">
        <f t="shared" si="6"/>
        <v>6544</v>
      </c>
      <c r="F57" s="40">
        <f t="shared" si="6"/>
        <v>7284</v>
      </c>
      <c r="G57" s="40">
        <f t="shared" si="6"/>
        <v>6666</v>
      </c>
      <c r="H57" s="40">
        <f t="shared" si="6"/>
        <v>7940</v>
      </c>
      <c r="I57" s="40">
        <f>+I4+I7+I8+I9+I15+I16+I19+I20+I23+I24+I27+I28+I33+I34+I35+I36+I37+I38+I39+I40+I41+I42+I43+I44+I45+I46+I47+I48+I49+I50+I17</f>
        <v>7252</v>
      </c>
      <c r="J57" s="40">
        <f t="shared" ref="J57:N57" si="7">+J4+J7+J8+J9+J15+J16+J19+J20+J23+J24+J27+J28+J33+J34+J35+J36+J37+J38+J39+J40+J41+J42+J43+J44+J45+J46+J47+J48+J49+J50+J17</f>
        <v>5971</v>
      </c>
      <c r="K57" s="40">
        <f t="shared" si="7"/>
        <v>5530</v>
      </c>
      <c r="L57" s="40">
        <f t="shared" si="7"/>
        <v>5201</v>
      </c>
      <c r="M57" s="40">
        <f t="shared" si="7"/>
        <v>5338</v>
      </c>
      <c r="N57" s="40">
        <f t="shared" si="7"/>
        <v>73397</v>
      </c>
    </row>
    <row r="58" spans="1:14" ht="16.2" x14ac:dyDescent="0.25">
      <c r="A58" s="33" t="s">
        <v>28</v>
      </c>
      <c r="B58" s="40">
        <f>SUM(B4:B50)-B22-B29-B21</f>
        <v>12235</v>
      </c>
      <c r="C58" s="40">
        <f t="shared" ref="C58:M58" si="8">SUM(C4:C50)-C22-C29-C21</f>
        <v>12530</v>
      </c>
      <c r="D58" s="40">
        <f t="shared" si="8"/>
        <v>13709</v>
      </c>
      <c r="E58" s="40">
        <f t="shared" si="8"/>
        <v>16001</v>
      </c>
      <c r="F58" s="40">
        <f t="shared" si="8"/>
        <v>18866</v>
      </c>
      <c r="G58" s="40">
        <f t="shared" si="8"/>
        <v>18533</v>
      </c>
      <c r="H58" s="40">
        <f t="shared" si="8"/>
        <v>23306</v>
      </c>
      <c r="I58" s="40">
        <f t="shared" si="8"/>
        <v>20567</v>
      </c>
      <c r="J58" s="40">
        <f t="shared" si="8"/>
        <v>16770</v>
      </c>
      <c r="K58" s="40">
        <f t="shared" si="8"/>
        <v>14251</v>
      </c>
      <c r="L58" s="40">
        <f t="shared" si="8"/>
        <v>13575</v>
      </c>
      <c r="M58" s="40">
        <f t="shared" si="8"/>
        <v>13758</v>
      </c>
      <c r="N58" s="40">
        <f>SUM(N4:N50)-N22-N29-N21</f>
        <v>194101</v>
      </c>
    </row>
    <row r="59" spans="1:14" ht="16.2" x14ac:dyDescent="0.25">
      <c r="A59" s="33" t="s">
        <v>46</v>
      </c>
      <c r="B59" s="40">
        <f>SUM(B4:B50)-B22-B29-B51-B52-B21</f>
        <v>11506</v>
      </c>
      <c r="C59" s="40">
        <f t="shared" ref="C59:M59" si="9">SUM(C4:C50)-C22-C29-C51-C52-C21</f>
        <v>11850</v>
      </c>
      <c r="D59" s="40">
        <f t="shared" si="9"/>
        <v>12973</v>
      </c>
      <c r="E59" s="40">
        <f t="shared" si="9"/>
        <v>15285</v>
      </c>
      <c r="F59" s="40">
        <f t="shared" si="9"/>
        <v>18116</v>
      </c>
      <c r="G59" s="40">
        <f t="shared" si="9"/>
        <v>17817</v>
      </c>
      <c r="H59" s="40">
        <f t="shared" si="9"/>
        <v>22566</v>
      </c>
      <c r="I59" s="40">
        <f t="shared" si="9"/>
        <v>19815</v>
      </c>
      <c r="J59" s="40">
        <f t="shared" si="9"/>
        <v>16039</v>
      </c>
      <c r="K59" s="40">
        <f t="shared" si="9"/>
        <v>13516</v>
      </c>
      <c r="L59" s="40">
        <f t="shared" si="9"/>
        <v>12857</v>
      </c>
      <c r="M59" s="40">
        <f t="shared" si="9"/>
        <v>13031</v>
      </c>
      <c r="N59" s="40">
        <f>SUM(N4:N50)-N22-N29-N51-N52-N21</f>
        <v>185371</v>
      </c>
    </row>
    <row r="60" spans="1:14" ht="16.2" x14ac:dyDescent="0.25">
      <c r="A60" s="33" t="s">
        <v>52</v>
      </c>
      <c r="B60" s="40">
        <f>+B10+B11+B12+B13+B14+B25+B26+B31+B32</f>
        <v>4045</v>
      </c>
      <c r="C60" s="40">
        <f t="shared" ref="C60:M60" si="10">+C10+C11+C12+C13+C14+C25+C26+C31+C32</f>
        <v>4131</v>
      </c>
      <c r="D60" s="40">
        <f t="shared" si="10"/>
        <v>4478</v>
      </c>
      <c r="E60" s="40">
        <f t="shared" si="10"/>
        <v>5946</v>
      </c>
      <c r="F60" s="40">
        <f t="shared" si="10"/>
        <v>6938</v>
      </c>
      <c r="G60" s="40">
        <f t="shared" si="10"/>
        <v>6925</v>
      </c>
      <c r="H60" s="40">
        <f t="shared" si="10"/>
        <v>10821</v>
      </c>
      <c r="I60" s="40">
        <f t="shared" si="10"/>
        <v>9343</v>
      </c>
      <c r="J60" s="40">
        <f t="shared" si="10"/>
        <v>6864</v>
      </c>
      <c r="K60" s="40">
        <f t="shared" si="10"/>
        <v>5041</v>
      </c>
      <c r="L60" s="40">
        <f t="shared" si="10"/>
        <v>4959</v>
      </c>
      <c r="M60" s="40">
        <f t="shared" si="10"/>
        <v>4869</v>
      </c>
      <c r="N60" s="40">
        <f>+N10+N11+N12+N13+N14+N25+N26+N31+N32</f>
        <v>74360</v>
      </c>
    </row>
    <row r="61" spans="1:14" ht="16.2" x14ac:dyDescent="0.25">
      <c r="A61" s="36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5" spans="1:14" ht="16.2" x14ac:dyDescent="0.25">
      <c r="A65" s="39" t="s">
        <v>179</v>
      </c>
      <c r="B65" s="40">
        <f>+B4+B7+B8+B9+B5+B6</f>
        <v>3340</v>
      </c>
      <c r="C65" s="40">
        <f t="shared" ref="C65:N65" si="11">+C4+C7+C8+C9+C5+C6</f>
        <v>3830</v>
      </c>
      <c r="D65" s="40">
        <f t="shared" si="11"/>
        <v>3470</v>
      </c>
      <c r="E65" s="40">
        <f t="shared" si="11"/>
        <v>3740</v>
      </c>
      <c r="F65" s="40">
        <f t="shared" si="11"/>
        <v>5250</v>
      </c>
      <c r="G65" s="40">
        <f t="shared" si="11"/>
        <v>4060</v>
      </c>
      <c r="H65" s="40">
        <f t="shared" si="11"/>
        <v>4330</v>
      </c>
      <c r="I65" s="40">
        <f t="shared" si="11"/>
        <v>3760</v>
      </c>
      <c r="J65" s="40">
        <f t="shared" si="11"/>
        <v>3760</v>
      </c>
      <c r="K65" s="40">
        <f t="shared" si="11"/>
        <v>3830</v>
      </c>
      <c r="L65" s="40">
        <f t="shared" si="11"/>
        <v>3270</v>
      </c>
      <c r="M65" s="40">
        <f t="shared" si="11"/>
        <v>3590</v>
      </c>
      <c r="N65" s="40">
        <f t="shared" si="11"/>
        <v>46230</v>
      </c>
    </row>
    <row r="66" spans="1:14" ht="16.2" x14ac:dyDescent="0.25">
      <c r="A66" s="39" t="s">
        <v>177</v>
      </c>
      <c r="B66" s="40">
        <f>+B15+B16+B23+B24</f>
        <v>2950</v>
      </c>
      <c r="C66" s="40">
        <f t="shared" ref="C66:N66" si="12">+C15+C16+C23+C24</f>
        <v>2892</v>
      </c>
      <c r="D66" s="40">
        <f t="shared" si="12"/>
        <v>3346</v>
      </c>
      <c r="E66" s="40">
        <f t="shared" si="12"/>
        <v>3923</v>
      </c>
      <c r="F66" s="40">
        <f t="shared" si="12"/>
        <v>4027</v>
      </c>
      <c r="G66" s="40">
        <f t="shared" si="12"/>
        <v>3850</v>
      </c>
      <c r="H66" s="40">
        <f t="shared" si="12"/>
        <v>4884</v>
      </c>
      <c r="I66" s="40">
        <f t="shared" si="12"/>
        <v>4619</v>
      </c>
      <c r="J66" s="40">
        <f t="shared" si="12"/>
        <v>3635</v>
      </c>
      <c r="K66" s="40">
        <f t="shared" si="12"/>
        <v>3080</v>
      </c>
      <c r="L66" s="40">
        <f t="shared" si="12"/>
        <v>3044</v>
      </c>
      <c r="M66" s="40">
        <f t="shared" si="12"/>
        <v>3296</v>
      </c>
      <c r="N66" s="40">
        <f t="shared" si="12"/>
        <v>43546</v>
      </c>
    </row>
    <row r="67" spans="1:14" ht="16.2" x14ac:dyDescent="0.25">
      <c r="A67" s="33" t="s">
        <v>178</v>
      </c>
      <c r="B67" s="40">
        <f>+B19+B20+B27+B28</f>
        <v>10</v>
      </c>
      <c r="C67" s="40">
        <f t="shared" ref="C67:N67" si="13">+C19+C20+C27+C28</f>
        <v>16</v>
      </c>
      <c r="D67" s="40">
        <f t="shared" si="13"/>
        <v>16</v>
      </c>
      <c r="E67" s="40">
        <f t="shared" si="13"/>
        <v>28</v>
      </c>
      <c r="F67" s="40">
        <f t="shared" si="13"/>
        <v>35</v>
      </c>
      <c r="G67" s="40">
        <f t="shared" si="13"/>
        <v>32</v>
      </c>
      <c r="H67" s="40">
        <f t="shared" si="13"/>
        <v>64</v>
      </c>
      <c r="I67" s="40">
        <f t="shared" si="13"/>
        <v>57</v>
      </c>
      <c r="J67" s="40">
        <f t="shared" si="13"/>
        <v>49</v>
      </c>
      <c r="K67" s="40">
        <f t="shared" si="13"/>
        <v>18</v>
      </c>
      <c r="L67" s="40">
        <f t="shared" si="13"/>
        <v>6</v>
      </c>
      <c r="M67" s="40">
        <f t="shared" si="13"/>
        <v>1</v>
      </c>
      <c r="N67" s="40">
        <f t="shared" si="13"/>
        <v>332</v>
      </c>
    </row>
    <row r="68" spans="1:14" ht="16.2" x14ac:dyDescent="0.25">
      <c r="A68" s="33" t="s">
        <v>180</v>
      </c>
      <c r="B68" s="40">
        <f>+B33+B34+B35+B36+B37+B38+B39+B40+B41+B42+B43+B44+B45+B46+B47+B48+B49+B50</f>
        <v>314</v>
      </c>
      <c r="C68" s="40">
        <f t="shared" ref="C68:H68" si="14">+C33+C34+C35+C36+C37+C38+C39+C40+C41+C42+C43+C44+C45+C46+C47+C48+C49+C50</f>
        <v>306</v>
      </c>
      <c r="D68" s="40">
        <f t="shared" si="14"/>
        <v>498</v>
      </c>
      <c r="E68" s="40">
        <f t="shared" si="14"/>
        <v>563</v>
      </c>
      <c r="F68" s="40">
        <f t="shared" si="14"/>
        <v>462</v>
      </c>
      <c r="G68" s="40">
        <f t="shared" si="14"/>
        <v>674</v>
      </c>
      <c r="H68" s="40">
        <f t="shared" si="14"/>
        <v>622</v>
      </c>
      <c r="I68" s="40">
        <f>+I33+I34+I35+I36+I37+I38+I39+I40+I41+I42+I43+I44+I45+I46+I47+I48+I49+I50+I17</f>
        <v>586</v>
      </c>
      <c r="J68" s="40">
        <f t="shared" ref="J68:N68" si="15">+J33+J34+J35+J36+J37+J38+J39+J40+J41+J42+J43+J44+J45+J46+J47+J48+J49+J50+J17</f>
        <v>487</v>
      </c>
      <c r="K68" s="40">
        <f t="shared" si="15"/>
        <v>482</v>
      </c>
      <c r="L68" s="40">
        <f t="shared" si="15"/>
        <v>471</v>
      </c>
      <c r="M68" s="40">
        <f t="shared" si="15"/>
        <v>351</v>
      </c>
      <c r="N68" s="40">
        <f t="shared" si="15"/>
        <v>5839</v>
      </c>
    </row>
    <row r="69" spans="1:14" ht="16.2" x14ac:dyDescent="0.25">
      <c r="A69" s="33" t="s">
        <v>157</v>
      </c>
      <c r="B69" s="40">
        <f>+B12+B30</f>
        <v>3350</v>
      </c>
      <c r="C69" s="40">
        <f t="shared" ref="C69:N69" si="16">+C12+C30</f>
        <v>3200</v>
      </c>
      <c r="D69" s="40">
        <f t="shared" si="16"/>
        <v>3650</v>
      </c>
      <c r="E69" s="40">
        <f t="shared" si="16"/>
        <v>3800</v>
      </c>
      <c r="F69" s="40">
        <f t="shared" si="16"/>
        <v>4925</v>
      </c>
      <c r="G69" s="40">
        <f t="shared" si="16"/>
        <v>5525</v>
      </c>
      <c r="H69" s="40">
        <f t="shared" si="16"/>
        <v>5775</v>
      </c>
      <c r="I69" s="40">
        <f t="shared" si="16"/>
        <v>4700</v>
      </c>
      <c r="J69" s="40">
        <f t="shared" si="16"/>
        <v>4575</v>
      </c>
      <c r="K69" s="40">
        <f t="shared" si="16"/>
        <v>4125</v>
      </c>
      <c r="L69" s="40">
        <f t="shared" si="16"/>
        <v>3875</v>
      </c>
      <c r="M69" s="40">
        <f t="shared" si="16"/>
        <v>3750</v>
      </c>
      <c r="N69" s="40">
        <f t="shared" si="16"/>
        <v>51250</v>
      </c>
    </row>
    <row r="70" spans="1:14" ht="16.2" x14ac:dyDescent="0.25">
      <c r="A70" s="33" t="s">
        <v>181</v>
      </c>
      <c r="B70" s="40">
        <f>+B13+B14+B25+B26</f>
        <v>2225</v>
      </c>
      <c r="C70" s="40">
        <f t="shared" ref="C70:N70" si="17">+C13+C14+C25+C26</f>
        <v>2244</v>
      </c>
      <c r="D70" s="40">
        <f t="shared" si="17"/>
        <v>2662</v>
      </c>
      <c r="E70" s="40">
        <f t="shared" si="17"/>
        <v>3710</v>
      </c>
      <c r="F70" s="40">
        <f t="shared" si="17"/>
        <v>3883</v>
      </c>
      <c r="G70" s="40">
        <f t="shared" si="17"/>
        <v>4112</v>
      </c>
      <c r="H70" s="40">
        <f t="shared" si="17"/>
        <v>7177</v>
      </c>
      <c r="I70" s="40">
        <f t="shared" si="17"/>
        <v>6469</v>
      </c>
      <c r="J70" s="40">
        <f t="shared" si="17"/>
        <v>4060</v>
      </c>
      <c r="K70" s="40">
        <f t="shared" si="17"/>
        <v>2639</v>
      </c>
      <c r="L70" s="40">
        <f t="shared" si="17"/>
        <v>2863</v>
      </c>
      <c r="M70" s="40">
        <f t="shared" si="17"/>
        <v>2748</v>
      </c>
      <c r="N70" s="40">
        <f t="shared" si="17"/>
        <v>44792</v>
      </c>
    </row>
    <row r="71" spans="1:14" ht="16.2" x14ac:dyDescent="0.25">
      <c r="A71" s="33" t="s">
        <v>182</v>
      </c>
      <c r="B71" s="40">
        <f>+B10+B11+B31+B32</f>
        <v>45</v>
      </c>
      <c r="C71" s="40">
        <f t="shared" ref="C71:N71" si="18">+C10+C11+C31+C32</f>
        <v>37</v>
      </c>
      <c r="D71" s="40">
        <f t="shared" si="18"/>
        <v>66</v>
      </c>
      <c r="E71" s="40">
        <f t="shared" si="18"/>
        <v>236</v>
      </c>
      <c r="F71" s="40">
        <f t="shared" si="18"/>
        <v>280</v>
      </c>
      <c r="G71" s="40">
        <f t="shared" si="18"/>
        <v>263</v>
      </c>
      <c r="H71" s="40">
        <f t="shared" si="18"/>
        <v>444</v>
      </c>
      <c r="I71" s="40">
        <f t="shared" si="18"/>
        <v>374</v>
      </c>
      <c r="J71" s="40">
        <f t="shared" si="18"/>
        <v>204</v>
      </c>
      <c r="K71" s="40">
        <f t="shared" si="18"/>
        <v>77</v>
      </c>
      <c r="L71" s="40">
        <f t="shared" si="18"/>
        <v>46</v>
      </c>
      <c r="M71" s="40">
        <f t="shared" si="18"/>
        <v>21</v>
      </c>
      <c r="N71" s="40">
        <f t="shared" si="18"/>
        <v>2093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71"/>
  <sheetViews>
    <sheetView workbookViewId="0">
      <pane xSplit="1" ySplit="1" topLeftCell="L29" activePane="bottomRight" state="frozen"/>
      <selection pane="topRight" activeCell="B1" sqref="B1"/>
      <selection pane="bottomLeft" activeCell="A2" sqref="A2"/>
      <selection pane="bottomRight" activeCell="M53" sqref="M53"/>
    </sheetView>
  </sheetViews>
  <sheetFormatPr defaultRowHeight="15" x14ac:dyDescent="0.25"/>
  <cols>
    <col min="1" max="1" width="27" customWidth="1"/>
  </cols>
  <sheetData>
    <row r="1" spans="1:14" ht="18.600000000000001" x14ac:dyDescent="0.25">
      <c r="A1" s="48" t="s">
        <v>194</v>
      </c>
    </row>
    <row r="2" spans="1:14" x14ac:dyDescent="0.25">
      <c r="A2" s="49"/>
    </row>
    <row r="3" spans="1:14" ht="16.8" x14ac:dyDescent="0.25">
      <c r="A3" s="49"/>
      <c r="B3" s="47" t="s">
        <v>29</v>
      </c>
      <c r="C3" s="34" t="s">
        <v>30</v>
      </c>
      <c r="D3" s="34" t="s">
        <v>31</v>
      </c>
      <c r="E3" s="34" t="s">
        <v>32</v>
      </c>
      <c r="F3" s="34" t="s">
        <v>33</v>
      </c>
      <c r="G3" s="34" t="s">
        <v>34</v>
      </c>
      <c r="H3" s="34" t="s">
        <v>35</v>
      </c>
      <c r="I3" s="34" t="s">
        <v>36</v>
      </c>
      <c r="J3" s="34" t="s">
        <v>37</v>
      </c>
      <c r="K3" s="34" t="s">
        <v>38</v>
      </c>
      <c r="L3" s="34" t="s">
        <v>39</v>
      </c>
      <c r="M3" s="34" t="s">
        <v>40</v>
      </c>
      <c r="N3" s="35" t="s">
        <v>41</v>
      </c>
    </row>
    <row r="4" spans="1:14" ht="16.2" x14ac:dyDescent="0.25">
      <c r="A4" s="50" t="s">
        <v>190</v>
      </c>
      <c r="B4" s="52">
        <v>50</v>
      </c>
      <c r="C4" s="52">
        <v>30</v>
      </c>
      <c r="D4" s="52">
        <v>30</v>
      </c>
      <c r="E4" s="52">
        <v>10</v>
      </c>
      <c r="F4" s="52">
        <v>50</v>
      </c>
      <c r="G4" s="58">
        <v>40</v>
      </c>
      <c r="H4" s="52">
        <v>40</v>
      </c>
      <c r="I4" s="52">
        <v>10</v>
      </c>
      <c r="J4" s="52">
        <v>10</v>
      </c>
      <c r="K4" s="52"/>
      <c r="L4" s="52">
        <v>30</v>
      </c>
      <c r="M4" s="52">
        <v>50</v>
      </c>
      <c r="N4" s="52">
        <f>SUM(B4:M4)</f>
        <v>350</v>
      </c>
    </row>
    <row r="5" spans="1:14" ht="16.2" x14ac:dyDescent="0.25">
      <c r="A5" s="50" t="s">
        <v>191</v>
      </c>
      <c r="B5" s="52">
        <v>60</v>
      </c>
      <c r="C5" s="52"/>
      <c r="D5" s="52">
        <v>20</v>
      </c>
      <c r="E5" s="52">
        <v>30</v>
      </c>
      <c r="F5" s="52">
        <v>20</v>
      </c>
      <c r="G5" s="58">
        <v>40</v>
      </c>
      <c r="H5" s="52">
        <v>30</v>
      </c>
      <c r="I5" s="52">
        <v>10</v>
      </c>
      <c r="J5" s="52"/>
      <c r="K5" s="52"/>
      <c r="L5" s="52">
        <v>70</v>
      </c>
      <c r="M5" s="52">
        <v>50</v>
      </c>
      <c r="N5" s="52">
        <f t="shared" ref="N5:N6" si="0">SUM(B5:M5)</f>
        <v>330</v>
      </c>
    </row>
    <row r="6" spans="1:14" ht="16.2" x14ac:dyDescent="0.25">
      <c r="A6" s="50" t="s">
        <v>186</v>
      </c>
      <c r="B6" s="52">
        <v>1740</v>
      </c>
      <c r="C6" s="52">
        <v>1800</v>
      </c>
      <c r="D6" s="52">
        <v>2000</v>
      </c>
      <c r="E6" s="52">
        <v>1960</v>
      </c>
      <c r="F6" s="52">
        <v>2340</v>
      </c>
      <c r="G6" s="58">
        <v>2040</v>
      </c>
      <c r="H6" s="52">
        <v>2320</v>
      </c>
      <c r="I6" s="52">
        <v>1980</v>
      </c>
      <c r="J6" s="52">
        <v>980</v>
      </c>
      <c r="K6" s="52">
        <v>2000</v>
      </c>
      <c r="L6" s="52">
        <v>1240</v>
      </c>
      <c r="M6" s="52">
        <v>1840</v>
      </c>
      <c r="N6" s="52">
        <f t="shared" si="0"/>
        <v>22240</v>
      </c>
    </row>
    <row r="7" spans="1:14" ht="16.2" x14ac:dyDescent="0.25">
      <c r="A7" s="50" t="s">
        <v>59</v>
      </c>
      <c r="B7" s="52">
        <v>20</v>
      </c>
      <c r="C7" s="52"/>
      <c r="D7" s="52"/>
      <c r="E7" s="52">
        <v>40</v>
      </c>
      <c r="F7" s="52">
        <v>60</v>
      </c>
      <c r="G7" s="58">
        <v>20</v>
      </c>
      <c r="H7" s="52">
        <v>20</v>
      </c>
      <c r="I7" s="52">
        <v>20</v>
      </c>
      <c r="J7" s="52"/>
      <c r="K7" s="52">
        <v>20</v>
      </c>
      <c r="L7" s="52"/>
      <c r="M7" s="52">
        <v>20</v>
      </c>
      <c r="N7" s="52">
        <f>SUM(B7:M7)</f>
        <v>220</v>
      </c>
    </row>
    <row r="8" spans="1:14" ht="16.2" x14ac:dyDescent="0.25">
      <c r="A8" s="50" t="s">
        <v>187</v>
      </c>
      <c r="B8" s="52">
        <v>1960</v>
      </c>
      <c r="C8" s="52">
        <v>1720</v>
      </c>
      <c r="D8" s="52">
        <v>1800</v>
      </c>
      <c r="E8" s="52">
        <v>2160</v>
      </c>
      <c r="F8" s="52">
        <v>2580</v>
      </c>
      <c r="G8" s="58">
        <v>2240</v>
      </c>
      <c r="H8" s="52">
        <v>2140</v>
      </c>
      <c r="I8" s="52">
        <v>2120</v>
      </c>
      <c r="J8" s="52">
        <v>900</v>
      </c>
      <c r="K8" s="52">
        <v>2300</v>
      </c>
      <c r="L8" s="52">
        <v>1120</v>
      </c>
      <c r="M8" s="52">
        <v>1700</v>
      </c>
      <c r="N8" s="52">
        <f>SUM(B8:M8)</f>
        <v>22740</v>
      </c>
    </row>
    <row r="9" spans="1:14" ht="16.2" x14ac:dyDescent="0.25">
      <c r="A9" s="50" t="s">
        <v>188</v>
      </c>
      <c r="B9" s="52"/>
      <c r="C9" s="52"/>
      <c r="D9" s="52"/>
      <c r="E9" s="52"/>
      <c r="F9" s="52"/>
      <c r="G9" s="58"/>
      <c r="H9" s="52">
        <v>20</v>
      </c>
      <c r="I9" s="52">
        <v>20</v>
      </c>
      <c r="J9" s="52"/>
      <c r="K9" s="52"/>
      <c r="L9" s="52"/>
      <c r="M9" s="52"/>
      <c r="N9" s="52">
        <f>SUM(B9:M9)</f>
        <v>40</v>
      </c>
    </row>
    <row r="10" spans="1:14" ht="16.2" x14ac:dyDescent="0.25">
      <c r="A10" s="50" t="s">
        <v>134</v>
      </c>
      <c r="B10" s="52"/>
      <c r="C10" s="52"/>
      <c r="D10" s="52"/>
      <c r="E10" s="52"/>
      <c r="F10" s="52">
        <v>75</v>
      </c>
      <c r="G10" s="58">
        <v>188</v>
      </c>
      <c r="H10" s="52">
        <v>329</v>
      </c>
      <c r="I10" s="52">
        <v>223</v>
      </c>
      <c r="J10" s="52">
        <v>175</v>
      </c>
      <c r="K10" s="52"/>
      <c r="L10" s="52"/>
      <c r="M10" s="52"/>
      <c r="N10" s="52">
        <f>SUM(B10:M10)</f>
        <v>990</v>
      </c>
    </row>
    <row r="11" spans="1:14" ht="16.2" x14ac:dyDescent="0.25">
      <c r="A11" s="50" t="s">
        <v>135</v>
      </c>
      <c r="B11" s="52">
        <v>39</v>
      </c>
      <c r="C11" s="52">
        <v>57</v>
      </c>
      <c r="D11" s="52">
        <v>67</v>
      </c>
      <c r="E11" s="52">
        <v>138</v>
      </c>
      <c r="F11" s="52">
        <v>114</v>
      </c>
      <c r="G11" s="58"/>
      <c r="H11" s="52"/>
      <c r="I11" s="52"/>
      <c r="J11" s="52"/>
      <c r="K11" s="52">
        <v>121</v>
      </c>
      <c r="L11" s="52">
        <v>39</v>
      </c>
      <c r="M11" s="52">
        <v>33</v>
      </c>
      <c r="N11" s="52">
        <f t="shared" ref="N11:N52" si="1">SUM(B11:M11)</f>
        <v>608</v>
      </c>
    </row>
    <row r="12" spans="1:14" ht="16.2" x14ac:dyDescent="0.25">
      <c r="A12" s="50" t="s">
        <v>60</v>
      </c>
      <c r="B12" s="52">
        <v>1575</v>
      </c>
      <c r="C12" s="52">
        <v>1625</v>
      </c>
      <c r="D12" s="52">
        <v>1475</v>
      </c>
      <c r="E12" s="52">
        <v>1600</v>
      </c>
      <c r="F12" s="52">
        <v>2900</v>
      </c>
      <c r="G12" s="58">
        <v>2375</v>
      </c>
      <c r="H12" s="52">
        <v>3025</v>
      </c>
      <c r="I12" s="52">
        <v>2300</v>
      </c>
      <c r="J12" s="52">
        <v>2775</v>
      </c>
      <c r="K12" s="52">
        <v>4375</v>
      </c>
      <c r="L12" s="52">
        <v>1550</v>
      </c>
      <c r="M12" s="52">
        <v>1675</v>
      </c>
      <c r="N12" s="52">
        <f t="shared" si="1"/>
        <v>27250</v>
      </c>
    </row>
    <row r="13" spans="1:14" ht="16.2" x14ac:dyDescent="0.25">
      <c r="A13" s="50" t="s">
        <v>111</v>
      </c>
      <c r="B13" s="52"/>
      <c r="C13" s="52"/>
      <c r="D13" s="52"/>
      <c r="E13" s="52"/>
      <c r="F13" s="52">
        <v>1281</v>
      </c>
      <c r="G13" s="58">
        <v>2829</v>
      </c>
      <c r="H13" s="52">
        <v>4316</v>
      </c>
      <c r="I13" s="52">
        <v>4101</v>
      </c>
      <c r="J13" s="52">
        <v>2910</v>
      </c>
      <c r="K13" s="52"/>
      <c r="L13" s="52"/>
      <c r="M13" s="52"/>
      <c r="N13" s="52">
        <f t="shared" si="1"/>
        <v>15437</v>
      </c>
    </row>
    <row r="14" spans="1:14" ht="16.2" x14ac:dyDescent="0.25">
      <c r="A14" s="50" t="s">
        <v>136</v>
      </c>
      <c r="B14" s="52">
        <v>1565</v>
      </c>
      <c r="C14" s="52">
        <v>1751</v>
      </c>
      <c r="D14" s="52">
        <v>2092</v>
      </c>
      <c r="E14" s="52">
        <v>2183</v>
      </c>
      <c r="F14" s="52">
        <v>1602</v>
      </c>
      <c r="G14" s="58"/>
      <c r="H14" s="52"/>
      <c r="I14" s="52"/>
      <c r="J14" s="52"/>
      <c r="K14" s="52">
        <v>2600</v>
      </c>
      <c r="L14" s="52">
        <v>1933</v>
      </c>
      <c r="M14" s="52">
        <v>1827</v>
      </c>
      <c r="N14" s="52">
        <f t="shared" si="1"/>
        <v>15553</v>
      </c>
    </row>
    <row r="15" spans="1:14" ht="16.2" x14ac:dyDescent="0.25">
      <c r="A15" s="50" t="s">
        <v>127</v>
      </c>
      <c r="B15" s="52"/>
      <c r="C15" s="52"/>
      <c r="D15" s="52"/>
      <c r="E15" s="52"/>
      <c r="F15" s="52">
        <v>1267</v>
      </c>
      <c r="G15" s="58">
        <v>2981</v>
      </c>
      <c r="H15" s="52">
        <v>3711</v>
      </c>
      <c r="I15" s="52">
        <v>3521</v>
      </c>
      <c r="J15" s="52">
        <v>2866</v>
      </c>
      <c r="K15" s="52"/>
      <c r="L15" s="52"/>
      <c r="M15" s="52"/>
      <c r="N15" s="52">
        <f t="shared" si="1"/>
        <v>14346</v>
      </c>
    </row>
    <row r="16" spans="1:14" ht="16.2" x14ac:dyDescent="0.25">
      <c r="A16" s="50" t="s">
        <v>137</v>
      </c>
      <c r="B16" s="52">
        <v>2109</v>
      </c>
      <c r="C16" s="52">
        <v>2274</v>
      </c>
      <c r="D16" s="52">
        <v>2619</v>
      </c>
      <c r="E16" s="52">
        <v>2777</v>
      </c>
      <c r="F16" s="52">
        <v>1746</v>
      </c>
      <c r="G16" s="58"/>
      <c r="H16" s="52"/>
      <c r="I16" s="52"/>
      <c r="J16" s="52"/>
      <c r="K16" s="52">
        <v>455</v>
      </c>
      <c r="L16" s="52">
        <v>2458</v>
      </c>
      <c r="M16" s="52">
        <f>49+2421</f>
        <v>2470</v>
      </c>
      <c r="N16" s="52">
        <f t="shared" si="1"/>
        <v>16908</v>
      </c>
    </row>
    <row r="17" spans="1:14" ht="16.2" x14ac:dyDescent="0.25">
      <c r="A17" s="50" t="s">
        <v>8</v>
      </c>
      <c r="B17" s="52"/>
      <c r="C17" s="52"/>
      <c r="D17" s="52"/>
      <c r="E17" s="52"/>
      <c r="F17" s="52"/>
      <c r="G17" s="58"/>
      <c r="H17" s="52"/>
      <c r="I17" s="52"/>
      <c r="J17" s="52"/>
      <c r="K17" s="52"/>
      <c r="L17" s="52"/>
      <c r="M17" s="52"/>
      <c r="N17" s="52">
        <f t="shared" si="1"/>
        <v>0</v>
      </c>
    </row>
    <row r="18" spans="1:14" ht="16.2" x14ac:dyDescent="0.25">
      <c r="A18" s="50" t="s">
        <v>62</v>
      </c>
      <c r="B18" s="52">
        <v>6</v>
      </c>
      <c r="C18" s="52">
        <v>1</v>
      </c>
      <c r="D18" s="52">
        <v>1</v>
      </c>
      <c r="E18" s="52"/>
      <c r="F18" s="52"/>
      <c r="G18" s="58">
        <v>6</v>
      </c>
      <c r="H18" s="52">
        <v>3</v>
      </c>
      <c r="I18" s="52">
        <v>1</v>
      </c>
      <c r="J18" s="52"/>
      <c r="K18" s="52">
        <v>3</v>
      </c>
      <c r="L18" s="52">
        <v>7</v>
      </c>
      <c r="M18" s="52">
        <f>1+1</f>
        <v>2</v>
      </c>
      <c r="N18" s="52">
        <f t="shared" si="1"/>
        <v>30</v>
      </c>
    </row>
    <row r="19" spans="1:14" ht="16.2" x14ac:dyDescent="0.25">
      <c r="A19" s="50" t="s">
        <v>138</v>
      </c>
      <c r="B19" s="52"/>
      <c r="C19" s="52"/>
      <c r="D19" s="52"/>
      <c r="E19" s="52"/>
      <c r="F19" s="52">
        <v>26</v>
      </c>
      <c r="G19" s="58">
        <v>72</v>
      </c>
      <c r="H19" s="52">
        <v>109</v>
      </c>
      <c r="I19" s="52">
        <v>75</v>
      </c>
      <c r="J19" s="52">
        <v>41</v>
      </c>
      <c r="K19" s="52"/>
      <c r="L19" s="52"/>
      <c r="M19" s="52"/>
      <c r="N19" s="52">
        <f t="shared" si="1"/>
        <v>323</v>
      </c>
    </row>
    <row r="20" spans="1:14" ht="16.2" x14ac:dyDescent="0.25">
      <c r="A20" s="50" t="s">
        <v>139</v>
      </c>
      <c r="B20" s="52">
        <v>8</v>
      </c>
      <c r="C20" s="52">
        <v>14</v>
      </c>
      <c r="D20" s="52">
        <v>19</v>
      </c>
      <c r="E20" s="52">
        <v>46</v>
      </c>
      <c r="F20" s="52">
        <v>48</v>
      </c>
      <c r="G20" s="58"/>
      <c r="H20" s="52"/>
      <c r="I20" s="52"/>
      <c r="J20" s="52"/>
      <c r="K20" s="52">
        <v>21</v>
      </c>
      <c r="L20" s="52">
        <v>6</v>
      </c>
      <c r="M20" s="52">
        <v>4</v>
      </c>
      <c r="N20" s="52">
        <f t="shared" si="1"/>
        <v>166</v>
      </c>
    </row>
    <row r="21" spans="1:14" ht="16.2" x14ac:dyDescent="0.25">
      <c r="A21" s="50" t="s">
        <v>11</v>
      </c>
      <c r="B21" s="52">
        <v>18</v>
      </c>
      <c r="C21" s="52">
        <v>18</v>
      </c>
      <c r="D21" s="52">
        <v>19</v>
      </c>
      <c r="E21" s="52">
        <v>19</v>
      </c>
      <c r="F21" s="52">
        <v>19</v>
      </c>
      <c r="G21" s="58">
        <v>13</v>
      </c>
      <c r="H21" s="52"/>
      <c r="I21" s="52"/>
      <c r="J21" s="52">
        <v>16</v>
      </c>
      <c r="K21" s="52">
        <v>21</v>
      </c>
      <c r="L21" s="52">
        <v>18</v>
      </c>
      <c r="M21" s="52">
        <v>14</v>
      </c>
      <c r="N21" s="52">
        <f>SUM(B21:M21)</f>
        <v>175</v>
      </c>
    </row>
    <row r="22" spans="1:14" ht="16.2" x14ac:dyDescent="0.25">
      <c r="A22" s="50" t="s">
        <v>12</v>
      </c>
      <c r="B22" s="52"/>
      <c r="C22" s="52"/>
      <c r="D22" s="52">
        <v>3</v>
      </c>
      <c r="E22" s="52">
        <v>28</v>
      </c>
      <c r="F22" s="52">
        <v>1</v>
      </c>
      <c r="G22" s="58"/>
      <c r="H22" s="65"/>
      <c r="I22" s="52">
        <v>2</v>
      </c>
      <c r="J22" s="52"/>
      <c r="K22" s="52">
        <v>2</v>
      </c>
      <c r="L22" s="52"/>
      <c r="M22" s="52"/>
      <c r="N22" s="52">
        <f t="shared" si="1"/>
        <v>36</v>
      </c>
    </row>
    <row r="23" spans="1:14" ht="16.2" x14ac:dyDescent="0.25">
      <c r="A23" s="50" t="s">
        <v>145</v>
      </c>
      <c r="B23" s="52"/>
      <c r="C23" s="52"/>
      <c r="D23" s="52"/>
      <c r="E23" s="52"/>
      <c r="F23" s="52">
        <v>368</v>
      </c>
      <c r="G23" s="58">
        <v>929</v>
      </c>
      <c r="H23" s="52">
        <v>1063</v>
      </c>
      <c r="I23" s="52">
        <v>1015</v>
      </c>
      <c r="J23" s="52">
        <v>881</v>
      </c>
      <c r="K23" s="52"/>
      <c r="L23" s="52"/>
      <c r="M23" s="52"/>
      <c r="N23" s="52">
        <f>SUM(B23:M23)</f>
        <v>4256</v>
      </c>
    </row>
    <row r="24" spans="1:14" ht="16.2" x14ac:dyDescent="0.25">
      <c r="A24" s="50" t="s">
        <v>146</v>
      </c>
      <c r="B24" s="52">
        <v>652</v>
      </c>
      <c r="C24" s="52">
        <v>696</v>
      </c>
      <c r="D24" s="52">
        <v>747</v>
      </c>
      <c r="E24" s="52">
        <v>843</v>
      </c>
      <c r="F24" s="52">
        <v>586</v>
      </c>
      <c r="G24" s="58"/>
      <c r="H24" s="52"/>
      <c r="I24" s="52"/>
      <c r="J24" s="52"/>
      <c r="K24" s="52">
        <v>208</v>
      </c>
      <c r="L24" s="52">
        <v>915</v>
      </c>
      <c r="M24" s="52">
        <v>913</v>
      </c>
      <c r="N24" s="52">
        <f>SUM(B24:M24)</f>
        <v>5560</v>
      </c>
    </row>
    <row r="25" spans="1:14" ht="16.2" x14ac:dyDescent="0.25">
      <c r="A25" s="50" t="s">
        <v>184</v>
      </c>
      <c r="B25" s="52"/>
      <c r="C25" s="52"/>
      <c r="D25" s="52"/>
      <c r="E25" s="52"/>
      <c r="F25" s="52">
        <v>680</v>
      </c>
      <c r="G25" s="58">
        <v>1596</v>
      </c>
      <c r="H25" s="52">
        <v>2682</v>
      </c>
      <c r="I25" s="52">
        <v>2455</v>
      </c>
      <c r="J25" s="52">
        <v>1443</v>
      </c>
      <c r="K25" s="52">
        <v>6</v>
      </c>
      <c r="L25" s="52"/>
      <c r="M25" s="52"/>
      <c r="N25" s="52">
        <f>SUM(B25:M25)</f>
        <v>8862</v>
      </c>
    </row>
    <row r="26" spans="1:14" ht="16.2" x14ac:dyDescent="0.25">
      <c r="A26" s="50" t="s">
        <v>183</v>
      </c>
      <c r="B26" s="52">
        <v>654</v>
      </c>
      <c r="C26" s="52">
        <v>878</v>
      </c>
      <c r="D26" s="52">
        <v>889</v>
      </c>
      <c r="E26" s="52">
        <v>1104</v>
      </c>
      <c r="F26" s="52">
        <v>752</v>
      </c>
      <c r="G26" s="58"/>
      <c r="H26" s="52"/>
      <c r="I26" s="52"/>
      <c r="J26" s="52"/>
      <c r="K26" s="52">
        <v>1066</v>
      </c>
      <c r="L26" s="52">
        <v>849</v>
      </c>
      <c r="M26" s="52">
        <f>3+835</f>
        <v>838</v>
      </c>
      <c r="N26" s="52">
        <f>SUM(B26:M26)</f>
        <v>7030</v>
      </c>
    </row>
    <row r="27" spans="1:14" ht="16.2" x14ac:dyDescent="0.25">
      <c r="A27" s="50" t="s">
        <v>140</v>
      </c>
      <c r="B27" s="52"/>
      <c r="C27" s="52"/>
      <c r="D27" s="52"/>
      <c r="E27" s="52"/>
      <c r="F27" s="52"/>
      <c r="G27" s="58">
        <v>13</v>
      </c>
      <c r="H27" s="52">
        <v>7</v>
      </c>
      <c r="I27" s="52">
        <v>7</v>
      </c>
      <c r="J27" s="52">
        <v>4</v>
      </c>
      <c r="K27" s="52"/>
      <c r="L27" s="52"/>
      <c r="M27" s="52"/>
      <c r="N27" s="52">
        <f t="shared" si="1"/>
        <v>31</v>
      </c>
    </row>
    <row r="28" spans="1:14" ht="16.2" x14ac:dyDescent="0.25">
      <c r="A28" s="50" t="s">
        <v>141</v>
      </c>
      <c r="B28" s="52"/>
      <c r="C28" s="52"/>
      <c r="D28" s="52"/>
      <c r="E28" s="52">
        <v>1</v>
      </c>
      <c r="F28" s="52">
        <v>7</v>
      </c>
      <c r="G28" s="58"/>
      <c r="H28" s="52"/>
      <c r="I28" s="52"/>
      <c r="J28" s="52"/>
      <c r="K28" s="52"/>
      <c r="L28" s="52">
        <v>1</v>
      </c>
      <c r="M28" s="52"/>
      <c r="N28" s="52">
        <f t="shared" si="1"/>
        <v>9</v>
      </c>
    </row>
    <row r="29" spans="1:14" ht="16.2" x14ac:dyDescent="0.25">
      <c r="A29" s="50" t="s">
        <v>91</v>
      </c>
      <c r="B29" s="52"/>
      <c r="C29" s="52"/>
      <c r="D29" s="52"/>
      <c r="E29" s="52"/>
      <c r="F29" s="52"/>
      <c r="G29" s="58"/>
      <c r="H29" s="52"/>
      <c r="I29" s="52"/>
      <c r="J29" s="52"/>
      <c r="K29" s="52"/>
      <c r="L29" s="52"/>
      <c r="M29" s="52"/>
      <c r="N29" s="52">
        <f>SUM(B29:M29)</f>
        <v>0</v>
      </c>
    </row>
    <row r="30" spans="1:14" ht="16.2" x14ac:dyDescent="0.25">
      <c r="A30" s="50" t="s">
        <v>15</v>
      </c>
      <c r="B30" s="52">
        <v>1175</v>
      </c>
      <c r="C30" s="52">
        <v>1325</v>
      </c>
      <c r="D30" s="52">
        <v>1825</v>
      </c>
      <c r="E30" s="52">
        <v>1700</v>
      </c>
      <c r="F30" s="52">
        <v>2350</v>
      </c>
      <c r="G30" s="58">
        <v>2650</v>
      </c>
      <c r="H30" s="52">
        <v>2650</v>
      </c>
      <c r="I30" s="52">
        <v>2525</v>
      </c>
      <c r="J30" s="52">
        <v>3150</v>
      </c>
      <c r="K30" s="52">
        <v>4025</v>
      </c>
      <c r="L30" s="52">
        <v>1700</v>
      </c>
      <c r="M30" s="52">
        <v>1625</v>
      </c>
      <c r="N30" s="52">
        <f>SUM(B30:M30)</f>
        <v>26700</v>
      </c>
    </row>
    <row r="31" spans="1:14" ht="16.2" x14ac:dyDescent="0.25">
      <c r="A31" s="50" t="s">
        <v>116</v>
      </c>
      <c r="B31" s="52"/>
      <c r="C31" s="52"/>
      <c r="D31" s="52"/>
      <c r="E31" s="52"/>
      <c r="F31" s="52">
        <v>25</v>
      </c>
      <c r="G31" s="58">
        <v>78</v>
      </c>
      <c r="H31" s="52">
        <v>153</v>
      </c>
      <c r="I31" s="52">
        <v>109</v>
      </c>
      <c r="J31" s="52">
        <v>77</v>
      </c>
      <c r="K31" s="52"/>
      <c r="L31" s="52"/>
      <c r="M31" s="52"/>
      <c r="N31" s="52">
        <f>SUM(B31:M31)</f>
        <v>442</v>
      </c>
    </row>
    <row r="32" spans="1:14" ht="16.2" x14ac:dyDescent="0.25">
      <c r="A32" s="50" t="s">
        <v>142</v>
      </c>
      <c r="B32" s="52">
        <v>6</v>
      </c>
      <c r="C32" s="52">
        <v>11</v>
      </c>
      <c r="D32" s="52">
        <v>22</v>
      </c>
      <c r="E32" s="52">
        <v>58</v>
      </c>
      <c r="F32" s="52">
        <v>18</v>
      </c>
      <c r="G32" s="58"/>
      <c r="H32" s="52"/>
      <c r="I32" s="52"/>
      <c r="J32" s="52"/>
      <c r="K32" s="52">
        <v>17</v>
      </c>
      <c r="L32" s="52">
        <v>4</v>
      </c>
      <c r="M32" s="52">
        <v>9</v>
      </c>
      <c r="N32" s="52">
        <f>SUM(B32:M32)</f>
        <v>145</v>
      </c>
    </row>
    <row r="33" spans="1:14" ht="16.2" x14ac:dyDescent="0.25">
      <c r="A33" s="50" t="s">
        <v>118</v>
      </c>
      <c r="B33" s="52"/>
      <c r="C33" s="52"/>
      <c r="D33" s="52"/>
      <c r="E33" s="52"/>
      <c r="F33" s="52">
        <v>93</v>
      </c>
      <c r="G33" s="58">
        <v>309</v>
      </c>
      <c r="H33" s="52">
        <v>255</v>
      </c>
      <c r="I33" s="52">
        <v>279</v>
      </c>
      <c r="J33" s="52">
        <v>261</v>
      </c>
      <c r="K33" s="52"/>
      <c r="L33" s="52"/>
      <c r="M33" s="52"/>
      <c r="N33" s="52">
        <f t="shared" si="1"/>
        <v>1197</v>
      </c>
    </row>
    <row r="34" spans="1:14" ht="16.2" x14ac:dyDescent="0.25">
      <c r="A34" s="50" t="s">
        <v>147</v>
      </c>
      <c r="B34" s="52">
        <v>175</v>
      </c>
      <c r="C34" s="52">
        <v>151</v>
      </c>
      <c r="D34" s="52">
        <v>215</v>
      </c>
      <c r="E34" s="52">
        <v>255</v>
      </c>
      <c r="F34" s="52">
        <v>174</v>
      </c>
      <c r="G34" s="58"/>
      <c r="H34" s="52"/>
      <c r="I34" s="52"/>
      <c r="J34" s="52"/>
      <c r="K34" s="52">
        <v>34</v>
      </c>
      <c r="L34" s="52">
        <v>173</v>
      </c>
      <c r="M34" s="52">
        <v>157</v>
      </c>
      <c r="N34" s="52">
        <f t="shared" si="1"/>
        <v>1334</v>
      </c>
    </row>
    <row r="35" spans="1:14" ht="16.2" x14ac:dyDescent="0.25">
      <c r="A35" s="50" t="s">
        <v>119</v>
      </c>
      <c r="B35" s="52"/>
      <c r="C35" s="52"/>
      <c r="D35" s="52"/>
      <c r="E35" s="52"/>
      <c r="F35" s="52">
        <v>30</v>
      </c>
      <c r="G35" s="58">
        <v>120</v>
      </c>
      <c r="H35" s="52">
        <v>114</v>
      </c>
      <c r="I35" s="52">
        <v>97</v>
      </c>
      <c r="J35" s="52">
        <v>118</v>
      </c>
      <c r="K35" s="52"/>
      <c r="L35" s="52"/>
      <c r="M35" s="52"/>
      <c r="N35" s="52">
        <f t="shared" si="1"/>
        <v>479</v>
      </c>
    </row>
    <row r="36" spans="1:14" ht="16.2" x14ac:dyDescent="0.25">
      <c r="A36" s="50" t="s">
        <v>148</v>
      </c>
      <c r="B36" s="52">
        <v>112</v>
      </c>
      <c r="C36" s="52">
        <v>57</v>
      </c>
      <c r="D36" s="52">
        <v>66</v>
      </c>
      <c r="E36" s="52">
        <v>119</v>
      </c>
      <c r="F36" s="52">
        <v>53</v>
      </c>
      <c r="G36" s="58"/>
      <c r="H36" s="52"/>
      <c r="I36" s="52"/>
      <c r="J36" s="52"/>
      <c r="K36" s="52">
        <v>13</v>
      </c>
      <c r="L36" s="52">
        <v>91</v>
      </c>
      <c r="M36" s="52">
        <v>76</v>
      </c>
      <c r="N36" s="52">
        <f t="shared" si="1"/>
        <v>587</v>
      </c>
    </row>
    <row r="37" spans="1:14" ht="16.2" x14ac:dyDescent="0.25">
      <c r="A37" s="50" t="s">
        <v>120</v>
      </c>
      <c r="B37" s="52"/>
      <c r="C37" s="52"/>
      <c r="D37" s="52"/>
      <c r="E37" s="52"/>
      <c r="F37" s="52">
        <v>34</v>
      </c>
      <c r="G37" s="58">
        <v>70</v>
      </c>
      <c r="H37" s="52">
        <v>95</v>
      </c>
      <c r="I37" s="52">
        <v>69</v>
      </c>
      <c r="J37" s="52">
        <v>80</v>
      </c>
      <c r="K37" s="52"/>
      <c r="L37" s="52"/>
      <c r="M37" s="52"/>
      <c r="N37" s="52">
        <f t="shared" si="1"/>
        <v>348</v>
      </c>
    </row>
    <row r="38" spans="1:14" ht="16.2" x14ac:dyDescent="0.25">
      <c r="A38" s="50" t="s">
        <v>149</v>
      </c>
      <c r="B38" s="52">
        <v>35</v>
      </c>
      <c r="C38" s="52">
        <v>47</v>
      </c>
      <c r="D38" s="52">
        <v>47</v>
      </c>
      <c r="E38" s="52">
        <v>57</v>
      </c>
      <c r="F38" s="52">
        <v>42</v>
      </c>
      <c r="G38" s="58"/>
      <c r="H38" s="52"/>
      <c r="I38" s="52"/>
      <c r="J38" s="52"/>
      <c r="K38" s="52">
        <v>12</v>
      </c>
      <c r="L38" s="52">
        <v>57</v>
      </c>
      <c r="M38" s="52">
        <v>33</v>
      </c>
      <c r="N38" s="52">
        <f t="shared" si="1"/>
        <v>330</v>
      </c>
    </row>
    <row r="39" spans="1:14" ht="16.2" x14ac:dyDescent="0.25">
      <c r="A39" s="50" t="s">
        <v>121</v>
      </c>
      <c r="B39" s="52"/>
      <c r="C39" s="52"/>
      <c r="D39" s="52"/>
      <c r="E39" s="52"/>
      <c r="F39" s="52">
        <v>18</v>
      </c>
      <c r="G39" s="58">
        <v>65</v>
      </c>
      <c r="H39" s="52">
        <v>67</v>
      </c>
      <c r="I39" s="52">
        <v>71</v>
      </c>
      <c r="J39" s="52">
        <v>86</v>
      </c>
      <c r="K39" s="52"/>
      <c r="L39" s="52"/>
      <c r="M39" s="52"/>
      <c r="N39" s="52">
        <f t="shared" si="1"/>
        <v>307</v>
      </c>
    </row>
    <row r="40" spans="1:14" ht="16.2" x14ac:dyDescent="0.25">
      <c r="A40" s="50" t="s">
        <v>150</v>
      </c>
      <c r="B40" s="52">
        <v>31</v>
      </c>
      <c r="C40" s="52">
        <v>33</v>
      </c>
      <c r="D40" s="52">
        <v>50</v>
      </c>
      <c r="E40" s="52">
        <v>48</v>
      </c>
      <c r="F40" s="52">
        <v>38</v>
      </c>
      <c r="G40" s="58"/>
      <c r="H40" s="52"/>
      <c r="I40" s="52"/>
      <c r="J40" s="52"/>
      <c r="K40" s="52">
        <v>8</v>
      </c>
      <c r="L40" s="52">
        <v>28</v>
      </c>
      <c r="M40" s="52">
        <v>25</v>
      </c>
      <c r="N40" s="52">
        <f t="shared" si="1"/>
        <v>261</v>
      </c>
    </row>
    <row r="41" spans="1:14" ht="16.2" x14ac:dyDescent="0.25">
      <c r="A41" s="50" t="s">
        <v>122</v>
      </c>
      <c r="B41" s="52"/>
      <c r="C41" s="52"/>
      <c r="D41" s="52"/>
      <c r="E41" s="52"/>
      <c r="F41" s="52">
        <v>5</v>
      </c>
      <c r="G41" s="58">
        <v>24</v>
      </c>
      <c r="H41" s="52">
        <v>39</v>
      </c>
      <c r="I41" s="52">
        <v>28</v>
      </c>
      <c r="J41" s="52">
        <v>25</v>
      </c>
      <c r="K41" s="52"/>
      <c r="L41" s="52"/>
      <c r="M41" s="52"/>
      <c r="N41" s="52">
        <f t="shared" si="1"/>
        <v>121</v>
      </c>
    </row>
    <row r="42" spans="1:14" ht="16.2" x14ac:dyDescent="0.25">
      <c r="A42" s="50" t="s">
        <v>151</v>
      </c>
      <c r="B42" s="52">
        <v>5</v>
      </c>
      <c r="C42" s="52">
        <v>7</v>
      </c>
      <c r="D42" s="52">
        <v>12</v>
      </c>
      <c r="E42" s="52">
        <v>15</v>
      </c>
      <c r="F42" s="52">
        <v>9</v>
      </c>
      <c r="G42" s="58"/>
      <c r="H42" s="52"/>
      <c r="I42" s="52"/>
      <c r="J42" s="52"/>
      <c r="K42" s="52">
        <v>4</v>
      </c>
      <c r="L42" s="52">
        <v>15</v>
      </c>
      <c r="M42" s="52">
        <v>10</v>
      </c>
      <c r="N42" s="52">
        <f t="shared" si="1"/>
        <v>77</v>
      </c>
    </row>
    <row r="43" spans="1:14" ht="16.2" x14ac:dyDescent="0.25">
      <c r="A43" s="50" t="s">
        <v>123</v>
      </c>
      <c r="B43" s="52"/>
      <c r="C43" s="52"/>
      <c r="D43" s="52"/>
      <c r="E43" s="52"/>
      <c r="F43" s="52">
        <v>2</v>
      </c>
      <c r="G43" s="58">
        <v>7</v>
      </c>
      <c r="H43" s="52">
        <v>13</v>
      </c>
      <c r="I43" s="52">
        <v>7</v>
      </c>
      <c r="J43" s="52">
        <v>6</v>
      </c>
      <c r="K43" s="52"/>
      <c r="L43" s="52"/>
      <c r="M43" s="52"/>
      <c r="N43" s="52">
        <f t="shared" si="1"/>
        <v>35</v>
      </c>
    </row>
    <row r="44" spans="1:14" ht="16.2" x14ac:dyDescent="0.25">
      <c r="A44" s="50" t="s">
        <v>152</v>
      </c>
      <c r="B44" s="52">
        <v>3</v>
      </c>
      <c r="C44" s="52">
        <v>4</v>
      </c>
      <c r="D44" s="52">
        <v>3</v>
      </c>
      <c r="E44" s="52">
        <v>5</v>
      </c>
      <c r="F44" s="52">
        <v>7</v>
      </c>
      <c r="G44" s="58"/>
      <c r="H44" s="52"/>
      <c r="I44" s="52"/>
      <c r="J44" s="52"/>
      <c r="K44" s="52">
        <v>2</v>
      </c>
      <c r="L44" s="52">
        <v>7</v>
      </c>
      <c r="M44" s="52">
        <v>2</v>
      </c>
      <c r="N44" s="52">
        <f t="shared" si="1"/>
        <v>33</v>
      </c>
    </row>
    <row r="45" spans="1:14" ht="16.2" x14ac:dyDescent="0.25">
      <c r="A45" s="50" t="s">
        <v>124</v>
      </c>
      <c r="B45" s="52"/>
      <c r="C45" s="52"/>
      <c r="D45" s="52"/>
      <c r="E45" s="52"/>
      <c r="F45" s="52">
        <v>1</v>
      </c>
      <c r="G45" s="58">
        <v>4</v>
      </c>
      <c r="H45" s="52">
        <v>1</v>
      </c>
      <c r="I45" s="52">
        <v>4</v>
      </c>
      <c r="J45" s="52">
        <v>1</v>
      </c>
      <c r="K45" s="52"/>
      <c r="L45" s="52"/>
      <c r="M45" s="52"/>
      <c r="N45" s="52">
        <f t="shared" si="1"/>
        <v>11</v>
      </c>
    </row>
    <row r="46" spans="1:14" ht="16.2" x14ac:dyDescent="0.25">
      <c r="A46" s="50" t="s">
        <v>153</v>
      </c>
      <c r="B46" s="52">
        <v>3</v>
      </c>
      <c r="C46" s="52">
        <v>2</v>
      </c>
      <c r="D46" s="52">
        <v>2</v>
      </c>
      <c r="E46" s="52"/>
      <c r="F46" s="52"/>
      <c r="G46" s="58"/>
      <c r="H46" s="52"/>
      <c r="I46" s="52"/>
      <c r="J46" s="52"/>
      <c r="K46" s="52">
        <v>1</v>
      </c>
      <c r="L46" s="52">
        <v>1</v>
      </c>
      <c r="M46" s="52"/>
      <c r="N46" s="52">
        <f t="shared" si="1"/>
        <v>9</v>
      </c>
    </row>
    <row r="47" spans="1:14" ht="16.2" x14ac:dyDescent="0.25">
      <c r="A47" s="50" t="s">
        <v>125</v>
      </c>
      <c r="B47" s="52"/>
      <c r="C47" s="52"/>
      <c r="D47" s="52"/>
      <c r="E47" s="52"/>
      <c r="F47" s="52"/>
      <c r="G47" s="58">
        <v>1</v>
      </c>
      <c r="H47" s="52"/>
      <c r="I47" s="52">
        <v>2</v>
      </c>
      <c r="J47" s="52">
        <v>2</v>
      </c>
      <c r="K47" s="52"/>
      <c r="L47" s="52"/>
      <c r="M47" s="52"/>
      <c r="N47" s="52">
        <f t="shared" si="1"/>
        <v>5</v>
      </c>
    </row>
    <row r="48" spans="1:14" ht="16.2" x14ac:dyDescent="0.25">
      <c r="A48" s="50" t="s">
        <v>154</v>
      </c>
      <c r="B48" s="52">
        <v>1</v>
      </c>
      <c r="C48" s="52"/>
      <c r="D48" s="52"/>
      <c r="E48" s="52">
        <v>2</v>
      </c>
      <c r="F48" s="52">
        <v>1</v>
      </c>
      <c r="G48" s="58"/>
      <c r="H48" s="52"/>
      <c r="I48" s="52"/>
      <c r="J48" s="52"/>
      <c r="K48" s="52"/>
      <c r="L48" s="52"/>
      <c r="M48" s="52"/>
      <c r="N48" s="52">
        <f t="shared" si="1"/>
        <v>4</v>
      </c>
    </row>
    <row r="49" spans="1:14" ht="16.2" x14ac:dyDescent="0.25">
      <c r="A49" s="50" t="s">
        <v>126</v>
      </c>
      <c r="B49" s="52"/>
      <c r="C49" s="52"/>
      <c r="D49" s="52"/>
      <c r="E49" s="52"/>
      <c r="F49" s="52">
        <v>1</v>
      </c>
      <c r="G49" s="58"/>
      <c r="H49" s="52"/>
      <c r="I49" s="52">
        <v>1</v>
      </c>
      <c r="J49" s="52"/>
      <c r="K49" s="52"/>
      <c r="L49" s="52"/>
      <c r="M49" s="52"/>
      <c r="N49" s="52">
        <f t="shared" si="1"/>
        <v>2</v>
      </c>
    </row>
    <row r="50" spans="1:14" ht="16.2" x14ac:dyDescent="0.25">
      <c r="A50" s="57" t="s">
        <v>155</v>
      </c>
      <c r="B50" s="55">
        <v>1</v>
      </c>
      <c r="C50" s="52"/>
      <c r="D50" s="52">
        <v>3</v>
      </c>
      <c r="E50" s="52">
        <v>14</v>
      </c>
      <c r="F50" s="52">
        <v>4</v>
      </c>
      <c r="G50" s="58"/>
      <c r="H50" s="52"/>
      <c r="I50" s="52"/>
      <c r="J50" s="52"/>
      <c r="K50" s="52">
        <v>1</v>
      </c>
      <c r="L50" s="52"/>
      <c r="M50" s="52">
        <v>1</v>
      </c>
      <c r="N50" s="52">
        <f t="shared" si="1"/>
        <v>24</v>
      </c>
    </row>
    <row r="51" spans="1:14" ht="16.2" x14ac:dyDescent="0.25">
      <c r="A51" s="56" t="s">
        <v>77</v>
      </c>
      <c r="B51" s="58">
        <v>18</v>
      </c>
      <c r="C51" s="52">
        <v>18</v>
      </c>
      <c r="D51" s="52">
        <v>19</v>
      </c>
      <c r="E51" s="52">
        <v>19</v>
      </c>
      <c r="F51" s="52">
        <v>19</v>
      </c>
      <c r="G51" s="52">
        <v>13</v>
      </c>
      <c r="H51" s="52"/>
      <c r="I51" s="52"/>
      <c r="J51" s="52">
        <v>16</v>
      </c>
      <c r="K51" s="52">
        <v>21</v>
      </c>
      <c r="L51" s="52">
        <v>18</v>
      </c>
      <c r="M51" s="52">
        <v>14</v>
      </c>
      <c r="N51" s="58">
        <f t="shared" si="1"/>
        <v>175</v>
      </c>
    </row>
    <row r="52" spans="1:14" ht="16.2" x14ac:dyDescent="0.25">
      <c r="A52" s="59" t="s">
        <v>26</v>
      </c>
      <c r="B52" s="58">
        <v>714</v>
      </c>
      <c r="C52" s="52">
        <v>790</v>
      </c>
      <c r="D52" s="52">
        <v>706</v>
      </c>
      <c r="E52" s="52">
        <v>688</v>
      </c>
      <c r="F52" s="52">
        <v>736</v>
      </c>
      <c r="G52" s="52">
        <v>712</v>
      </c>
      <c r="H52" s="52">
        <v>759</v>
      </c>
      <c r="I52" s="52">
        <v>744</v>
      </c>
      <c r="J52" s="52">
        <v>728</v>
      </c>
      <c r="K52" s="52">
        <v>708</v>
      </c>
      <c r="L52" s="52">
        <v>694</v>
      </c>
      <c r="M52" s="52">
        <v>716</v>
      </c>
      <c r="N52" s="58">
        <f t="shared" si="1"/>
        <v>8695</v>
      </c>
    </row>
    <row r="53" spans="1:14" ht="16.2" x14ac:dyDescent="0.25">
      <c r="A53" s="56" t="s">
        <v>158</v>
      </c>
      <c r="B53">
        <f t="shared" ref="B53:N53" si="2">SUM(B4:B52)</f>
        <v>12735</v>
      </c>
      <c r="C53">
        <f t="shared" si="2"/>
        <v>13309</v>
      </c>
      <c r="D53">
        <f t="shared" si="2"/>
        <v>14751</v>
      </c>
      <c r="E53">
        <f t="shared" si="2"/>
        <v>15919</v>
      </c>
      <c r="F53">
        <f t="shared" si="2"/>
        <v>20182</v>
      </c>
      <c r="G53">
        <f t="shared" si="2"/>
        <v>19435</v>
      </c>
      <c r="H53">
        <f t="shared" si="2"/>
        <v>23961</v>
      </c>
      <c r="I53">
        <f t="shared" si="2"/>
        <v>21796</v>
      </c>
      <c r="J53">
        <f t="shared" si="2"/>
        <v>17551</v>
      </c>
      <c r="K53">
        <f t="shared" si="2"/>
        <v>18044</v>
      </c>
      <c r="L53">
        <f t="shared" si="2"/>
        <v>13024</v>
      </c>
      <c r="M53">
        <f t="shared" si="2"/>
        <v>14104</v>
      </c>
      <c r="N53">
        <f t="shared" si="2"/>
        <v>204811</v>
      </c>
    </row>
    <row r="55" spans="1:14" ht="16.2" x14ac:dyDescent="0.25">
      <c r="A55" s="39" t="s">
        <v>86</v>
      </c>
      <c r="B55" s="40">
        <f t="shared" ref="B55:D55" si="3">+B4+B8+B5+B6</f>
        <v>3810</v>
      </c>
      <c r="C55" s="40">
        <f t="shared" si="3"/>
        <v>3550</v>
      </c>
      <c r="D55" s="40">
        <f t="shared" si="3"/>
        <v>3850</v>
      </c>
      <c r="E55" s="40">
        <f>+E4+E8+E5+E6</f>
        <v>4160</v>
      </c>
      <c r="F55" s="40">
        <f t="shared" ref="F55:N55" si="4">+F4+F8+F5+F6</f>
        <v>4990</v>
      </c>
      <c r="G55" s="40">
        <f t="shared" si="4"/>
        <v>4360</v>
      </c>
      <c r="H55" s="40">
        <f t="shared" si="4"/>
        <v>4530</v>
      </c>
      <c r="I55" s="40">
        <f t="shared" si="4"/>
        <v>4120</v>
      </c>
      <c r="J55" s="40">
        <f t="shared" si="4"/>
        <v>1890</v>
      </c>
      <c r="K55" s="40">
        <f t="shared" si="4"/>
        <v>4300</v>
      </c>
      <c r="L55" s="40">
        <f t="shared" si="4"/>
        <v>2460</v>
      </c>
      <c r="M55" s="40">
        <f t="shared" si="4"/>
        <v>3640</v>
      </c>
      <c r="N55" s="40">
        <f t="shared" si="4"/>
        <v>45660</v>
      </c>
    </row>
    <row r="56" spans="1:14" ht="16.2" x14ac:dyDescent="0.25">
      <c r="A56" s="39" t="s">
        <v>157</v>
      </c>
      <c r="B56" s="40">
        <f>+B12+B30</f>
        <v>2750</v>
      </c>
      <c r="C56" s="40">
        <f t="shared" ref="C56:M56" si="5">+C12+C30</f>
        <v>2950</v>
      </c>
      <c r="D56" s="40">
        <f t="shared" si="5"/>
        <v>3300</v>
      </c>
      <c r="E56" s="40">
        <f t="shared" si="5"/>
        <v>3300</v>
      </c>
      <c r="F56" s="40">
        <f t="shared" si="5"/>
        <v>5250</v>
      </c>
      <c r="G56" s="40">
        <f t="shared" si="5"/>
        <v>5025</v>
      </c>
      <c r="H56" s="40">
        <f t="shared" si="5"/>
        <v>5675</v>
      </c>
      <c r="I56" s="40">
        <f t="shared" si="5"/>
        <v>4825</v>
      </c>
      <c r="J56" s="40">
        <f t="shared" si="5"/>
        <v>5925</v>
      </c>
      <c r="K56" s="40">
        <f t="shared" si="5"/>
        <v>8400</v>
      </c>
      <c r="L56" s="40">
        <f t="shared" si="5"/>
        <v>3250</v>
      </c>
      <c r="M56" s="40">
        <f t="shared" si="5"/>
        <v>3300</v>
      </c>
      <c r="N56" s="40">
        <f>+N12+N30</f>
        <v>53950</v>
      </c>
    </row>
    <row r="57" spans="1:14" ht="16.2" x14ac:dyDescent="0.25">
      <c r="A57" s="33" t="s">
        <v>50</v>
      </c>
      <c r="B57" s="40">
        <f>+B4+B7+B8+B9+B15+B16+B19+B20+B23+B24+B27+B28+B33+B34+B35+B36+B37+B38+B39+B40+B41+B42+B43+B44+B45+B46+B47+B48+B49+B50</f>
        <v>5165</v>
      </c>
      <c r="C57" s="40">
        <f t="shared" ref="C57:H57" si="6">+C4+C7+C8+C9+C15+C16+C19+C20+C23+C24+C27+C28+C33+C34+C35+C36+C37+C38+C39+C40+C41+C42+C43+C44+C45+C46+C47+C48+C49+C50</f>
        <v>5035</v>
      </c>
      <c r="D57" s="40">
        <f t="shared" si="6"/>
        <v>5613</v>
      </c>
      <c r="E57" s="40">
        <f t="shared" si="6"/>
        <v>6392</v>
      </c>
      <c r="F57" s="40">
        <f t="shared" si="6"/>
        <v>7250</v>
      </c>
      <c r="G57" s="40">
        <f t="shared" si="6"/>
        <v>6895</v>
      </c>
      <c r="H57" s="40">
        <f t="shared" si="6"/>
        <v>7694</v>
      </c>
      <c r="I57" s="40">
        <f>+I4+I7+I8+I9+I15+I16+I19+I20+I23+I24+I27+I28+I33+I34+I35+I36+I37+I38+I39+I40+I41+I42+I43+I44+I45+I46+I47+I48+I49+I50+I17</f>
        <v>7346</v>
      </c>
      <c r="J57" s="40">
        <f t="shared" ref="J57:N57" si="7">+J4+J7+J8+J9+J15+J16+J19+J20+J23+J24+J27+J28+J33+J34+J35+J36+J37+J38+J39+J40+J41+J42+J43+J44+J45+J46+J47+J48+J49+J50+J17</f>
        <v>5281</v>
      </c>
      <c r="K57" s="40">
        <f t="shared" si="7"/>
        <v>3079</v>
      </c>
      <c r="L57" s="40">
        <f t="shared" si="7"/>
        <v>4902</v>
      </c>
      <c r="M57" s="40">
        <f t="shared" si="7"/>
        <v>5461</v>
      </c>
      <c r="N57" s="40">
        <f t="shared" si="7"/>
        <v>70113</v>
      </c>
    </row>
    <row r="58" spans="1:14" ht="16.2" x14ac:dyDescent="0.25">
      <c r="A58" s="33" t="s">
        <v>28</v>
      </c>
      <c r="B58" s="40">
        <f>SUM(B4:B50)-B22-B29-B21</f>
        <v>11985</v>
      </c>
      <c r="C58" s="40">
        <f t="shared" ref="C58:M58" si="8">SUM(C4:C50)-C22-C29-C21</f>
        <v>12483</v>
      </c>
      <c r="D58" s="40">
        <f t="shared" si="8"/>
        <v>14004</v>
      </c>
      <c r="E58" s="40">
        <f t="shared" si="8"/>
        <v>15165</v>
      </c>
      <c r="F58" s="40">
        <f t="shared" si="8"/>
        <v>19407</v>
      </c>
      <c r="G58" s="40">
        <f t="shared" si="8"/>
        <v>18697</v>
      </c>
      <c r="H58" s="40">
        <f t="shared" si="8"/>
        <v>23202</v>
      </c>
      <c r="I58" s="40">
        <f t="shared" si="8"/>
        <v>21050</v>
      </c>
      <c r="J58" s="40">
        <f t="shared" si="8"/>
        <v>16791</v>
      </c>
      <c r="K58" s="40">
        <f t="shared" si="8"/>
        <v>17292</v>
      </c>
      <c r="L58" s="40">
        <f t="shared" si="8"/>
        <v>12294</v>
      </c>
      <c r="M58" s="40">
        <f t="shared" si="8"/>
        <v>13360</v>
      </c>
      <c r="N58" s="40">
        <f>SUM(N4:N50)-N22-N29-N21</f>
        <v>195730</v>
      </c>
    </row>
    <row r="59" spans="1:14" ht="16.2" x14ac:dyDescent="0.25">
      <c r="A59" s="33" t="s">
        <v>46</v>
      </c>
      <c r="B59" s="40">
        <f>SUM(B4:B50)-B22-B29-B51-B52-B21</f>
        <v>11253</v>
      </c>
      <c r="C59" s="40">
        <f t="shared" ref="C59:M59" si="9">SUM(C4:C50)-C22-C29-C51-C52-C21</f>
        <v>11675</v>
      </c>
      <c r="D59" s="40">
        <f t="shared" si="9"/>
        <v>13279</v>
      </c>
      <c r="E59" s="40">
        <f t="shared" si="9"/>
        <v>14458</v>
      </c>
      <c r="F59" s="40">
        <f t="shared" si="9"/>
        <v>18652</v>
      </c>
      <c r="G59" s="40">
        <f t="shared" si="9"/>
        <v>17972</v>
      </c>
      <c r="H59" s="40">
        <f t="shared" si="9"/>
        <v>22443</v>
      </c>
      <c r="I59" s="40">
        <f t="shared" si="9"/>
        <v>20306</v>
      </c>
      <c r="J59" s="40">
        <f t="shared" si="9"/>
        <v>16047</v>
      </c>
      <c r="K59" s="40">
        <f t="shared" si="9"/>
        <v>16563</v>
      </c>
      <c r="L59" s="40">
        <f t="shared" si="9"/>
        <v>11582</v>
      </c>
      <c r="M59" s="40">
        <f t="shared" si="9"/>
        <v>12630</v>
      </c>
      <c r="N59" s="40">
        <f>SUM(N4:N50)-N22-N29-N51-N52-N21</f>
        <v>186860</v>
      </c>
    </row>
    <row r="60" spans="1:14" ht="16.2" x14ac:dyDescent="0.25">
      <c r="A60" s="33" t="s">
        <v>52</v>
      </c>
      <c r="B60" s="40">
        <f>+B10+B11+B12+B13+B14+B25+B26+B31+B32</f>
        <v>3839</v>
      </c>
      <c r="C60" s="40">
        <f t="shared" ref="C60:M60" si="10">+C10+C11+C12+C13+C14+C25+C26+C31+C32</f>
        <v>4322</v>
      </c>
      <c r="D60" s="40">
        <f t="shared" si="10"/>
        <v>4545</v>
      </c>
      <c r="E60" s="40">
        <f t="shared" si="10"/>
        <v>5083</v>
      </c>
      <c r="F60" s="40">
        <f t="shared" si="10"/>
        <v>7447</v>
      </c>
      <c r="G60" s="40">
        <f t="shared" si="10"/>
        <v>7066</v>
      </c>
      <c r="H60" s="40">
        <f t="shared" si="10"/>
        <v>10505</v>
      </c>
      <c r="I60" s="40">
        <f t="shared" si="10"/>
        <v>9188</v>
      </c>
      <c r="J60" s="40">
        <f t="shared" si="10"/>
        <v>7380</v>
      </c>
      <c r="K60" s="40">
        <f t="shared" si="10"/>
        <v>8185</v>
      </c>
      <c r="L60" s="40">
        <f t="shared" si="10"/>
        <v>4375</v>
      </c>
      <c r="M60" s="40">
        <f t="shared" si="10"/>
        <v>4382</v>
      </c>
      <c r="N60" s="40">
        <f>+N10+N11+N12+N13+N14+N25+N26+N31+N32</f>
        <v>76317</v>
      </c>
    </row>
    <row r="61" spans="1:14" ht="16.2" x14ac:dyDescent="0.25">
      <c r="A61" s="36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5" spans="1:14" ht="16.2" x14ac:dyDescent="0.25">
      <c r="A65" s="39" t="s">
        <v>179</v>
      </c>
      <c r="B65" s="40">
        <f>+B4+B7+B8+B9+B5+B6</f>
        <v>3830</v>
      </c>
      <c r="C65" s="40">
        <f t="shared" ref="C65:N65" si="11">+C4+C7+C8+C9+C5+C6</f>
        <v>3550</v>
      </c>
      <c r="D65" s="40">
        <f t="shared" si="11"/>
        <v>3850</v>
      </c>
      <c r="E65" s="40">
        <f t="shared" si="11"/>
        <v>4200</v>
      </c>
      <c r="F65" s="40">
        <f t="shared" si="11"/>
        <v>5050</v>
      </c>
      <c r="G65" s="40">
        <f t="shared" si="11"/>
        <v>4380</v>
      </c>
      <c r="H65" s="40">
        <f t="shared" si="11"/>
        <v>4570</v>
      </c>
      <c r="I65" s="40">
        <f t="shared" si="11"/>
        <v>4160</v>
      </c>
      <c r="J65" s="40">
        <f t="shared" si="11"/>
        <v>1890</v>
      </c>
      <c r="K65" s="40">
        <f t="shared" si="11"/>
        <v>4320</v>
      </c>
      <c r="L65" s="40">
        <f t="shared" si="11"/>
        <v>2460</v>
      </c>
      <c r="M65" s="40">
        <f t="shared" si="11"/>
        <v>3660</v>
      </c>
      <c r="N65" s="40">
        <f t="shared" si="11"/>
        <v>45920</v>
      </c>
    </row>
    <row r="66" spans="1:14" ht="16.2" x14ac:dyDescent="0.25">
      <c r="A66" s="39" t="s">
        <v>177</v>
      </c>
      <c r="B66" s="40">
        <f>+B15+B16+B23+B24</f>
        <v>2761</v>
      </c>
      <c r="C66" s="40">
        <f t="shared" ref="C66:N66" si="12">+C15+C16+C23+C24</f>
        <v>2970</v>
      </c>
      <c r="D66" s="40">
        <f t="shared" si="12"/>
        <v>3366</v>
      </c>
      <c r="E66" s="40">
        <f t="shared" si="12"/>
        <v>3620</v>
      </c>
      <c r="F66" s="40">
        <f t="shared" si="12"/>
        <v>3967</v>
      </c>
      <c r="G66" s="40">
        <f t="shared" si="12"/>
        <v>3910</v>
      </c>
      <c r="H66" s="40">
        <f t="shared" si="12"/>
        <v>4774</v>
      </c>
      <c r="I66" s="40">
        <f t="shared" si="12"/>
        <v>4536</v>
      </c>
      <c r="J66" s="40">
        <f t="shared" si="12"/>
        <v>3747</v>
      </c>
      <c r="K66" s="40">
        <f t="shared" si="12"/>
        <v>663</v>
      </c>
      <c r="L66" s="40">
        <f t="shared" si="12"/>
        <v>3373</v>
      </c>
      <c r="M66" s="40">
        <f t="shared" si="12"/>
        <v>3383</v>
      </c>
      <c r="N66" s="40">
        <f t="shared" si="12"/>
        <v>41070</v>
      </c>
    </row>
    <row r="67" spans="1:14" ht="16.2" x14ac:dyDescent="0.25">
      <c r="A67" s="33" t="s">
        <v>178</v>
      </c>
      <c r="B67" s="40">
        <f>+B19+B20+B27+B28</f>
        <v>8</v>
      </c>
      <c r="C67" s="40">
        <f t="shared" ref="C67:N67" si="13">+C19+C20+C27+C28</f>
        <v>14</v>
      </c>
      <c r="D67" s="40">
        <f t="shared" si="13"/>
        <v>19</v>
      </c>
      <c r="E67" s="40">
        <f t="shared" si="13"/>
        <v>47</v>
      </c>
      <c r="F67" s="40">
        <f t="shared" si="13"/>
        <v>81</v>
      </c>
      <c r="G67" s="40">
        <f t="shared" si="13"/>
        <v>85</v>
      </c>
      <c r="H67" s="40">
        <f t="shared" si="13"/>
        <v>116</v>
      </c>
      <c r="I67" s="40">
        <f t="shared" si="13"/>
        <v>82</v>
      </c>
      <c r="J67" s="40">
        <f t="shared" si="13"/>
        <v>45</v>
      </c>
      <c r="K67" s="40">
        <f t="shared" si="13"/>
        <v>21</v>
      </c>
      <c r="L67" s="40">
        <f t="shared" si="13"/>
        <v>7</v>
      </c>
      <c r="M67" s="40">
        <f t="shared" si="13"/>
        <v>4</v>
      </c>
      <c r="N67" s="40">
        <f t="shared" si="13"/>
        <v>529</v>
      </c>
    </row>
    <row r="68" spans="1:14" ht="16.2" x14ac:dyDescent="0.25">
      <c r="A68" s="33" t="s">
        <v>180</v>
      </c>
      <c r="B68" s="40">
        <f>+B33+B34+B35+B36+B37+B38+B39+B40+B41+B42+B43+B44+B45+B46+B47+B48+B49+B50</f>
        <v>366</v>
      </c>
      <c r="C68" s="40">
        <f t="shared" ref="C68:H68" si="14">+C33+C34+C35+C36+C37+C38+C39+C40+C41+C42+C43+C44+C45+C46+C47+C48+C49+C50</f>
        <v>301</v>
      </c>
      <c r="D68" s="40">
        <f t="shared" si="14"/>
        <v>398</v>
      </c>
      <c r="E68" s="40">
        <f t="shared" si="14"/>
        <v>515</v>
      </c>
      <c r="F68" s="40">
        <f t="shared" si="14"/>
        <v>512</v>
      </c>
      <c r="G68" s="40">
        <f t="shared" si="14"/>
        <v>600</v>
      </c>
      <c r="H68" s="40">
        <f t="shared" si="14"/>
        <v>584</v>
      </c>
      <c r="I68" s="40">
        <f>+I33+I34+I35+I36+I37+I38+I39+I40+I41+I42+I43+I44+I45+I46+I47+I48+I49+I50+I17</f>
        <v>558</v>
      </c>
      <c r="J68" s="40">
        <f t="shared" ref="J68:N68" si="15">+J33+J34+J35+J36+J37+J38+J39+J40+J41+J42+J43+J44+J45+J46+J47+J48+J49+J50+J17</f>
        <v>579</v>
      </c>
      <c r="K68" s="40">
        <f t="shared" si="15"/>
        <v>75</v>
      </c>
      <c r="L68" s="40">
        <f t="shared" si="15"/>
        <v>372</v>
      </c>
      <c r="M68" s="40">
        <f t="shared" si="15"/>
        <v>304</v>
      </c>
      <c r="N68" s="40">
        <f t="shared" si="15"/>
        <v>5164</v>
      </c>
    </row>
    <row r="69" spans="1:14" ht="16.2" x14ac:dyDescent="0.25">
      <c r="A69" s="33" t="s">
        <v>157</v>
      </c>
      <c r="B69" s="40">
        <f>+B12+B30</f>
        <v>2750</v>
      </c>
      <c r="C69" s="40">
        <f t="shared" ref="C69:N69" si="16">+C12+C30</f>
        <v>2950</v>
      </c>
      <c r="D69" s="40">
        <f t="shared" si="16"/>
        <v>3300</v>
      </c>
      <c r="E69" s="40">
        <f t="shared" si="16"/>
        <v>3300</v>
      </c>
      <c r="F69" s="40">
        <f t="shared" si="16"/>
        <v>5250</v>
      </c>
      <c r="G69" s="40">
        <f t="shared" si="16"/>
        <v>5025</v>
      </c>
      <c r="H69" s="40">
        <f t="shared" si="16"/>
        <v>5675</v>
      </c>
      <c r="I69" s="40">
        <f t="shared" si="16"/>
        <v>4825</v>
      </c>
      <c r="J69" s="40">
        <f t="shared" si="16"/>
        <v>5925</v>
      </c>
      <c r="K69" s="40">
        <f t="shared" si="16"/>
        <v>8400</v>
      </c>
      <c r="L69" s="40">
        <f t="shared" si="16"/>
        <v>3250</v>
      </c>
      <c r="M69" s="40">
        <f t="shared" si="16"/>
        <v>3300</v>
      </c>
      <c r="N69" s="40">
        <f t="shared" si="16"/>
        <v>53950</v>
      </c>
    </row>
    <row r="70" spans="1:14" ht="16.2" x14ac:dyDescent="0.25">
      <c r="A70" s="33" t="s">
        <v>181</v>
      </c>
      <c r="B70" s="40">
        <f>+B13+B14+B25+B26</f>
        <v>2219</v>
      </c>
      <c r="C70" s="40">
        <f t="shared" ref="C70:N70" si="17">+C13+C14+C25+C26</f>
        <v>2629</v>
      </c>
      <c r="D70" s="40">
        <f t="shared" si="17"/>
        <v>2981</v>
      </c>
      <c r="E70" s="40">
        <f t="shared" si="17"/>
        <v>3287</v>
      </c>
      <c r="F70" s="40">
        <f t="shared" si="17"/>
        <v>4315</v>
      </c>
      <c r="G70" s="40">
        <f t="shared" si="17"/>
        <v>4425</v>
      </c>
      <c r="H70" s="40">
        <f t="shared" si="17"/>
        <v>6998</v>
      </c>
      <c r="I70" s="40">
        <f t="shared" si="17"/>
        <v>6556</v>
      </c>
      <c r="J70" s="40">
        <f t="shared" si="17"/>
        <v>4353</v>
      </c>
      <c r="K70" s="40">
        <f t="shared" si="17"/>
        <v>3672</v>
      </c>
      <c r="L70" s="40">
        <f t="shared" si="17"/>
        <v>2782</v>
      </c>
      <c r="M70" s="40">
        <f t="shared" si="17"/>
        <v>2665</v>
      </c>
      <c r="N70" s="40">
        <f t="shared" si="17"/>
        <v>46882</v>
      </c>
    </row>
    <row r="71" spans="1:14" ht="16.2" x14ac:dyDescent="0.25">
      <c r="A71" s="33" t="s">
        <v>182</v>
      </c>
      <c r="B71" s="40">
        <f>+B10+B11+B31+B32</f>
        <v>45</v>
      </c>
      <c r="C71" s="40">
        <f t="shared" ref="C71:N71" si="18">+C10+C11+C31+C32</f>
        <v>68</v>
      </c>
      <c r="D71" s="40">
        <f t="shared" si="18"/>
        <v>89</v>
      </c>
      <c r="E71" s="40">
        <f t="shared" si="18"/>
        <v>196</v>
      </c>
      <c r="F71" s="40">
        <f t="shared" si="18"/>
        <v>232</v>
      </c>
      <c r="G71" s="40">
        <f t="shared" si="18"/>
        <v>266</v>
      </c>
      <c r="H71" s="40">
        <f t="shared" si="18"/>
        <v>482</v>
      </c>
      <c r="I71" s="40">
        <f t="shared" si="18"/>
        <v>332</v>
      </c>
      <c r="J71" s="40">
        <f t="shared" si="18"/>
        <v>252</v>
      </c>
      <c r="K71" s="40">
        <f t="shared" si="18"/>
        <v>138</v>
      </c>
      <c r="L71" s="40">
        <f t="shared" si="18"/>
        <v>43</v>
      </c>
      <c r="M71" s="40">
        <f t="shared" si="18"/>
        <v>42</v>
      </c>
      <c r="N71" s="40">
        <f t="shared" si="18"/>
        <v>2185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16</vt:i4>
      </vt:variant>
    </vt:vector>
  </HeadingPairs>
  <TitlesOfParts>
    <vt:vector size="49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Chart1997-2010</vt:lpstr>
      <vt:lpstr>Ridership vs Ticket Sales 2010</vt:lpstr>
      <vt:lpstr>2010</vt:lpstr>
      <vt:lpstr>Ridership vs Ticket Sales 2009</vt:lpstr>
      <vt:lpstr>2009</vt:lpstr>
      <vt:lpstr>Ridership vs Ticket Sales 2008</vt:lpstr>
      <vt:lpstr>2008</vt:lpstr>
      <vt:lpstr>2007</vt:lpstr>
      <vt:lpstr>2006</vt:lpstr>
      <vt:lpstr>2005</vt:lpstr>
      <vt:lpstr>2004 New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'1996'!Print_Area</vt:lpstr>
      <vt:lpstr>'1997'!Print_Area</vt:lpstr>
      <vt:lpstr>'2001'!Print_Area</vt:lpstr>
      <vt:lpstr>'2002'!Print_Area</vt:lpstr>
      <vt:lpstr>'2003'!Print_Area</vt:lpstr>
      <vt:lpstr>'2004'!Print_Area</vt:lpstr>
      <vt:lpstr>'2004 New'!Print_Area</vt:lpstr>
      <vt:lpstr>'2005'!Print_Area</vt:lpstr>
      <vt:lpstr>'2006'!Print_Area</vt:lpstr>
      <vt:lpstr>'2007'!Print_Area</vt:lpstr>
      <vt:lpstr>'2008'!Print_Area</vt:lpstr>
      <vt:lpstr>'2020'!Print_Area</vt:lpstr>
      <vt:lpstr>'2021'!Print_Area</vt:lpstr>
      <vt:lpstr>'2022'!Print_Area</vt:lpstr>
      <vt:lpstr>'2023'!Print_Area</vt:lpstr>
      <vt:lpstr>'1997'!Print_Area_MI</vt:lpstr>
    </vt:vector>
  </TitlesOfParts>
  <Company>Skagit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TRISHAL</dc:creator>
  <cp:lastModifiedBy>Christine Lyons</cp:lastModifiedBy>
  <cp:lastPrinted>2020-04-14T16:28:15Z</cp:lastPrinted>
  <dcterms:created xsi:type="dcterms:W3CDTF">1997-12-16T16:18:01Z</dcterms:created>
  <dcterms:modified xsi:type="dcterms:W3CDTF">2023-12-22T21:28:27Z</dcterms:modified>
</cp:coreProperties>
</file>