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agit\dept\PW\shared\Ferry\"/>
    </mc:Choice>
  </mc:AlternateContent>
  <xr:revisionPtr revIDLastSave="0" documentId="13_ncr:1_{8D67D1BD-441D-47D9-9386-77D924FB5B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39" r:id="rId1"/>
    <sheet name="2022" sheetId="38" r:id="rId2"/>
    <sheet name="2021" sheetId="37" r:id="rId3"/>
    <sheet name="2020" sheetId="36" r:id="rId4"/>
    <sheet name="2019" sheetId="35" r:id="rId5"/>
    <sheet name="2018" sheetId="34" r:id="rId6"/>
    <sheet name="2017" sheetId="33" r:id="rId7"/>
    <sheet name="2016" sheetId="32" r:id="rId8"/>
    <sheet name="2015" sheetId="31" r:id="rId9"/>
    <sheet name="2014" sheetId="30" r:id="rId10"/>
    <sheet name="2013" sheetId="29" r:id="rId11"/>
    <sheet name="2012" sheetId="28" r:id="rId12"/>
    <sheet name="2011" sheetId="27" r:id="rId13"/>
    <sheet name="2010" sheetId="25" r:id="rId14"/>
    <sheet name="2009" sheetId="23" r:id="rId15"/>
    <sheet name="2008" sheetId="22" r:id="rId16"/>
    <sheet name="2007" sheetId="21" r:id="rId17"/>
    <sheet name="2006" sheetId="20" r:id="rId18"/>
    <sheet name="2005" sheetId="19" r:id="rId19"/>
    <sheet name="2004 New" sheetId="18" r:id="rId20"/>
    <sheet name="2004" sheetId="17" r:id="rId21"/>
    <sheet name="2003" sheetId="16" r:id="rId22"/>
    <sheet name="2002" sheetId="11" r:id="rId23"/>
    <sheet name="2001" sheetId="10" r:id="rId24"/>
    <sheet name="2000" sheetId="9" r:id="rId25"/>
    <sheet name="1999" sheetId="8" r:id="rId26"/>
    <sheet name="1998" sheetId="7" r:id="rId27"/>
    <sheet name="1997" sheetId="6" r:id="rId28"/>
    <sheet name="1996" sheetId="5" r:id="rId29"/>
    <sheet name="1995" sheetId="4" r:id="rId30"/>
    <sheet name="1994" sheetId="3" r:id="rId31"/>
    <sheet name="1993" sheetId="2" r:id="rId32"/>
    <sheet name="1992" sheetId="1" r:id="rId33"/>
    <sheet name="Chart2005-11" sheetId="26" r:id="rId34"/>
  </sheets>
  <definedNames>
    <definedName name="_Regression_Int" localSheetId="27" hidden="1">1</definedName>
    <definedName name="_xlnm.Print_Area" localSheetId="28">'1996'!$A$1:$O$29</definedName>
    <definedName name="_xlnm.Print_Area" localSheetId="27">'1997'!$A$1:$O$29</definedName>
    <definedName name="_xlnm.Print_Area" localSheetId="21">'2003'!$A$1:$O$34</definedName>
    <definedName name="_xlnm.Print_Area" localSheetId="20">'2004'!$A$1:$O$34</definedName>
    <definedName name="_xlnm.Print_Area" localSheetId="19">'2004 New'!$A$1:$O$37</definedName>
    <definedName name="_xlnm.Print_Area" localSheetId="18">'2005'!$A$1:$O$44</definedName>
    <definedName name="_xlnm.Print_Area" localSheetId="17">'2006'!$A$1:$O$50</definedName>
    <definedName name="_xlnm.Print_Area" localSheetId="16">'2007'!$A$1:$O$51</definedName>
    <definedName name="_xlnm.Print_Area" localSheetId="15">'2008'!$A$1:$O$66</definedName>
    <definedName name="_xlnm.Print_Area" localSheetId="14">'2009'!$A$1:$O$58</definedName>
    <definedName name="_xlnm.Print_Area" localSheetId="13">'2010'!$A$1:$O$58</definedName>
    <definedName name="_xlnm.Print_Area" localSheetId="12">'2011'!$A$1:$O$62</definedName>
    <definedName name="_xlnm.Print_Area" localSheetId="11">'2012'!$A$1:$O$57</definedName>
    <definedName name="_xlnm.Print_Area" localSheetId="10">'2013'!$A$1:$O$58</definedName>
    <definedName name="_xlnm.Print_Area" localSheetId="9">'2014'!$A$1:$O$60</definedName>
    <definedName name="_xlnm.Print_Area" localSheetId="0">'2023'!$A$1:$N$83</definedName>
    <definedName name="Print_Area_MI" localSheetId="27">'1997'!$A$1:$O$30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39" l="1"/>
  <c r="M76" i="39"/>
  <c r="M83" i="39" s="1"/>
  <c r="L76" i="39"/>
  <c r="K76" i="39"/>
  <c r="J76" i="39"/>
  <c r="I76" i="39"/>
  <c r="H76" i="39"/>
  <c r="G76" i="39"/>
  <c r="F76" i="39"/>
  <c r="F75" i="39"/>
  <c r="F83" i="39" s="1"/>
  <c r="F77" i="39"/>
  <c r="G78" i="39"/>
  <c r="F80" i="39"/>
  <c r="F78" i="39"/>
  <c r="E76" i="39"/>
  <c r="D76" i="39"/>
  <c r="C76" i="39"/>
  <c r="B76" i="39"/>
  <c r="B83" i="39" s="1"/>
  <c r="D83" i="39"/>
  <c r="J83" i="39"/>
  <c r="H83" i="39"/>
  <c r="E83" i="39"/>
  <c r="C83" i="39"/>
  <c r="N12" i="39"/>
  <c r="N11" i="39"/>
  <c r="N10" i="39"/>
  <c r="N9" i="39"/>
  <c r="N8" i="39"/>
  <c r="N7" i="39"/>
  <c r="N6" i="39"/>
  <c r="N5" i="39"/>
  <c r="N4" i="39"/>
  <c r="M81" i="39"/>
  <c r="L81" i="39"/>
  <c r="K81" i="39"/>
  <c r="M80" i="39"/>
  <c r="L80" i="39"/>
  <c r="K80" i="39"/>
  <c r="M79" i="39"/>
  <c r="L79" i="39"/>
  <c r="K79" i="39"/>
  <c r="M78" i="39"/>
  <c r="L78" i="39"/>
  <c r="K78" i="39"/>
  <c r="M77" i="39"/>
  <c r="L77" i="39"/>
  <c r="K77" i="39"/>
  <c r="M75" i="39"/>
  <c r="L75" i="39"/>
  <c r="K75" i="39"/>
  <c r="J81" i="39"/>
  <c r="J80" i="39"/>
  <c r="J79" i="39"/>
  <c r="J78" i="39"/>
  <c r="J77" i="39"/>
  <c r="J75" i="39"/>
  <c r="I78" i="39"/>
  <c r="I75" i="39"/>
  <c r="I79" i="39"/>
  <c r="G75" i="39"/>
  <c r="I80" i="39"/>
  <c r="I81" i="39"/>
  <c r="D66" i="39"/>
  <c r="H66" i="39"/>
  <c r="M67" i="39"/>
  <c r="L67" i="39"/>
  <c r="K67" i="39"/>
  <c r="J67" i="39"/>
  <c r="M66" i="39"/>
  <c r="L66" i="39"/>
  <c r="K66" i="39"/>
  <c r="J66" i="39"/>
  <c r="I66" i="39"/>
  <c r="M62" i="39"/>
  <c r="L62" i="39"/>
  <c r="L83" i="39" s="1"/>
  <c r="K62" i="39"/>
  <c r="J62" i="39"/>
  <c r="I62" i="39"/>
  <c r="I39" i="39"/>
  <c r="I53" i="39"/>
  <c r="I49" i="39"/>
  <c r="I45" i="39"/>
  <c r="I35" i="39"/>
  <c r="N35" i="39" s="1"/>
  <c r="I33" i="39"/>
  <c r="I32" i="39"/>
  <c r="I29" i="39"/>
  <c r="I24" i="39"/>
  <c r="I22" i="39"/>
  <c r="I21" i="39"/>
  <c r="I17" i="39"/>
  <c r="N17" i="39" s="1"/>
  <c r="I15" i="39"/>
  <c r="H81" i="39"/>
  <c r="G81" i="39"/>
  <c r="F81" i="39"/>
  <c r="E81" i="39"/>
  <c r="D81" i="39"/>
  <c r="C81" i="39"/>
  <c r="B81" i="39"/>
  <c r="H80" i="39"/>
  <c r="G80" i="39"/>
  <c r="E80" i="39"/>
  <c r="D80" i="39"/>
  <c r="C80" i="39"/>
  <c r="B80" i="39"/>
  <c r="H79" i="39"/>
  <c r="G79" i="39"/>
  <c r="F79" i="39"/>
  <c r="E79" i="39"/>
  <c r="D79" i="39"/>
  <c r="C79" i="39"/>
  <c r="B79" i="39"/>
  <c r="H78" i="39"/>
  <c r="E78" i="39"/>
  <c r="D78" i="39"/>
  <c r="C78" i="39"/>
  <c r="B78" i="39"/>
  <c r="I77" i="39"/>
  <c r="H77" i="39"/>
  <c r="G77" i="39"/>
  <c r="E77" i="39"/>
  <c r="D77" i="39"/>
  <c r="C77" i="39"/>
  <c r="B77" i="39"/>
  <c r="H75" i="39"/>
  <c r="E75" i="39"/>
  <c r="D75" i="39"/>
  <c r="C75" i="39"/>
  <c r="B75" i="39"/>
  <c r="H67" i="39"/>
  <c r="G67" i="39"/>
  <c r="F67" i="39"/>
  <c r="E67" i="39"/>
  <c r="D67" i="39"/>
  <c r="C67" i="39"/>
  <c r="G66" i="39"/>
  <c r="F66" i="39"/>
  <c r="E66" i="39"/>
  <c r="C66" i="39"/>
  <c r="B66" i="39"/>
  <c r="H62" i="39"/>
  <c r="G62" i="39"/>
  <c r="F62" i="39"/>
  <c r="E62" i="39"/>
  <c r="D62" i="39"/>
  <c r="C62" i="39"/>
  <c r="B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N49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N34" i="39"/>
  <c r="N32" i="39"/>
  <c r="N31" i="39"/>
  <c r="N30" i="39"/>
  <c r="N29" i="39"/>
  <c r="N28" i="39"/>
  <c r="N27" i="39"/>
  <c r="N26" i="39"/>
  <c r="N25" i="39"/>
  <c r="N24" i="39"/>
  <c r="N23" i="39"/>
  <c r="N22" i="39"/>
  <c r="N21" i="39"/>
  <c r="N20" i="39"/>
  <c r="N19" i="39"/>
  <c r="N18" i="39"/>
  <c r="N16" i="39"/>
  <c r="N14" i="39"/>
  <c r="N13" i="39"/>
  <c r="L57" i="38"/>
  <c r="M57" i="38"/>
  <c r="J57" i="38"/>
  <c r="K57" i="38"/>
  <c r="K61" i="38"/>
  <c r="N17" i="38"/>
  <c r="M72" i="38"/>
  <c r="L72" i="38"/>
  <c r="K72" i="38"/>
  <c r="J72" i="38"/>
  <c r="I72" i="38"/>
  <c r="H72" i="38"/>
  <c r="G72" i="38"/>
  <c r="F72" i="38"/>
  <c r="E72" i="38"/>
  <c r="D72" i="38"/>
  <c r="C72" i="38"/>
  <c r="B72" i="38"/>
  <c r="M71" i="38"/>
  <c r="L71" i="38"/>
  <c r="K71" i="38"/>
  <c r="J71" i="38"/>
  <c r="I71" i="38"/>
  <c r="H71" i="38"/>
  <c r="G71" i="38"/>
  <c r="F71" i="38"/>
  <c r="E71" i="38"/>
  <c r="D71" i="38"/>
  <c r="C71" i="38"/>
  <c r="B71" i="38"/>
  <c r="M70" i="38"/>
  <c r="L70" i="38"/>
  <c r="K70" i="38"/>
  <c r="J70" i="38"/>
  <c r="I70" i="38"/>
  <c r="H70" i="38"/>
  <c r="G70" i="38"/>
  <c r="F70" i="38"/>
  <c r="E70" i="38"/>
  <c r="D70" i="38"/>
  <c r="C70" i="38"/>
  <c r="B70" i="38"/>
  <c r="M69" i="38"/>
  <c r="L69" i="38"/>
  <c r="K69" i="38"/>
  <c r="J69" i="38"/>
  <c r="I69" i="38"/>
  <c r="H69" i="38"/>
  <c r="G69" i="38"/>
  <c r="F69" i="38"/>
  <c r="E69" i="38"/>
  <c r="D69" i="38"/>
  <c r="C69" i="38"/>
  <c r="B69" i="38"/>
  <c r="M68" i="38"/>
  <c r="L68" i="38"/>
  <c r="K68" i="38"/>
  <c r="J68" i="38"/>
  <c r="I68" i="38"/>
  <c r="H68" i="38"/>
  <c r="G68" i="38"/>
  <c r="F68" i="38"/>
  <c r="E68" i="38"/>
  <c r="D68" i="38"/>
  <c r="C68" i="38"/>
  <c r="B68" i="38"/>
  <c r="M67" i="38"/>
  <c r="L67" i="38"/>
  <c r="K67" i="38"/>
  <c r="J67" i="38"/>
  <c r="I67" i="38"/>
  <c r="H67" i="38"/>
  <c r="G67" i="38"/>
  <c r="F67" i="38"/>
  <c r="E67" i="38"/>
  <c r="D67" i="38"/>
  <c r="C67" i="38"/>
  <c r="B67" i="38"/>
  <c r="M66" i="38"/>
  <c r="L66" i="38"/>
  <c r="K66" i="38"/>
  <c r="J66" i="38"/>
  <c r="I66" i="38"/>
  <c r="H66" i="38"/>
  <c r="G66" i="38"/>
  <c r="F66" i="38"/>
  <c r="E66" i="38"/>
  <c r="D66" i="38"/>
  <c r="C66" i="38"/>
  <c r="B66" i="38"/>
  <c r="M58" i="38"/>
  <c r="L58" i="38"/>
  <c r="K58" i="38"/>
  <c r="J58" i="38"/>
  <c r="I58" i="38"/>
  <c r="H58" i="38"/>
  <c r="G58" i="38"/>
  <c r="F58" i="38"/>
  <c r="E58" i="38"/>
  <c r="D58" i="38"/>
  <c r="C58" i="38"/>
  <c r="B58" i="38"/>
  <c r="I57" i="38"/>
  <c r="H57" i="38"/>
  <c r="G57" i="38"/>
  <c r="F57" i="38"/>
  <c r="E57" i="38"/>
  <c r="D57" i="38"/>
  <c r="C57" i="38"/>
  <c r="B57" i="38"/>
  <c r="M53" i="38"/>
  <c r="L53" i="38"/>
  <c r="K53" i="38"/>
  <c r="J53" i="38"/>
  <c r="I53" i="38"/>
  <c r="H53" i="38"/>
  <c r="G53" i="38"/>
  <c r="F53" i="38"/>
  <c r="E53" i="38"/>
  <c r="D53" i="38"/>
  <c r="C53" i="38"/>
  <c r="B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6" i="38"/>
  <c r="N15" i="38"/>
  <c r="N14" i="38"/>
  <c r="N13" i="38"/>
  <c r="N12" i="38"/>
  <c r="N11" i="38"/>
  <c r="N10" i="38"/>
  <c r="N9" i="38"/>
  <c r="N8" i="38"/>
  <c r="N7" i="38"/>
  <c r="N6" i="38"/>
  <c r="N5" i="38"/>
  <c r="N4" i="38"/>
  <c r="M71" i="37"/>
  <c r="L71" i="37"/>
  <c r="K71" i="37"/>
  <c r="J71" i="37"/>
  <c r="I71" i="37"/>
  <c r="H71" i="37"/>
  <c r="G71" i="37"/>
  <c r="F71" i="37"/>
  <c r="E71" i="37"/>
  <c r="D71" i="37"/>
  <c r="C71" i="37"/>
  <c r="B71" i="37"/>
  <c r="M70" i="37"/>
  <c r="L70" i="37"/>
  <c r="K70" i="37"/>
  <c r="J70" i="37"/>
  <c r="I70" i="37"/>
  <c r="H70" i="37"/>
  <c r="G70" i="37"/>
  <c r="F70" i="37"/>
  <c r="E70" i="37"/>
  <c r="D70" i="37"/>
  <c r="C70" i="37"/>
  <c r="M69" i="37"/>
  <c r="L69" i="37"/>
  <c r="K69" i="37"/>
  <c r="J69" i="37"/>
  <c r="I69" i="37"/>
  <c r="H69" i="37"/>
  <c r="G69" i="37"/>
  <c r="F69" i="37"/>
  <c r="E69" i="37"/>
  <c r="D69" i="37"/>
  <c r="C69" i="37"/>
  <c r="M68" i="37"/>
  <c r="L68" i="37"/>
  <c r="K68" i="37"/>
  <c r="J68" i="37"/>
  <c r="I68" i="37"/>
  <c r="H68" i="37"/>
  <c r="G68" i="37"/>
  <c r="F68" i="37"/>
  <c r="E68" i="37"/>
  <c r="D68" i="37"/>
  <c r="C68" i="37"/>
  <c r="M67" i="37"/>
  <c r="L67" i="37"/>
  <c r="K67" i="37"/>
  <c r="J67" i="37"/>
  <c r="I67" i="37"/>
  <c r="H67" i="37"/>
  <c r="G67" i="37"/>
  <c r="F67" i="37"/>
  <c r="E67" i="37"/>
  <c r="D67" i="37"/>
  <c r="C67" i="37"/>
  <c r="B67" i="37"/>
  <c r="M66" i="37"/>
  <c r="L66" i="37"/>
  <c r="K66" i="37"/>
  <c r="J66" i="37"/>
  <c r="I66" i="37"/>
  <c r="H66" i="37"/>
  <c r="G66" i="37"/>
  <c r="F66" i="37"/>
  <c r="E66" i="37"/>
  <c r="D66" i="37"/>
  <c r="C66" i="37"/>
  <c r="M65" i="37"/>
  <c r="L65" i="37"/>
  <c r="K65" i="37"/>
  <c r="J65" i="37"/>
  <c r="I65" i="37"/>
  <c r="H65" i="37"/>
  <c r="G65" i="37"/>
  <c r="E65" i="37"/>
  <c r="D65" i="37"/>
  <c r="C65" i="37"/>
  <c r="M57" i="37"/>
  <c r="L57" i="37"/>
  <c r="K57" i="37"/>
  <c r="J57" i="37"/>
  <c r="I57" i="37"/>
  <c r="H57" i="37"/>
  <c r="G57" i="37"/>
  <c r="F57" i="37"/>
  <c r="E57" i="37"/>
  <c r="D57" i="37"/>
  <c r="C57" i="37"/>
  <c r="B57" i="37"/>
  <c r="M56" i="37"/>
  <c r="L56" i="37"/>
  <c r="K56" i="37"/>
  <c r="J56" i="37"/>
  <c r="I56" i="37"/>
  <c r="H56" i="37"/>
  <c r="G56" i="37"/>
  <c r="G58" i="37" s="1"/>
  <c r="E56" i="37"/>
  <c r="D56" i="37"/>
  <c r="C56" i="37"/>
  <c r="M52" i="37"/>
  <c r="L52" i="37"/>
  <c r="K52" i="37"/>
  <c r="J52" i="37"/>
  <c r="I52" i="37"/>
  <c r="H52" i="37"/>
  <c r="G52" i="37"/>
  <c r="E52" i="37"/>
  <c r="D52" i="37"/>
  <c r="C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B66" i="37"/>
  <c r="N15" i="37"/>
  <c r="B70" i="37"/>
  <c r="N13" i="37"/>
  <c r="B69" i="37"/>
  <c r="N11" i="37"/>
  <c r="N10" i="37"/>
  <c r="N9" i="37"/>
  <c r="N7" i="37"/>
  <c r="N6" i="37"/>
  <c r="F56" i="37"/>
  <c r="N81" i="39" l="1"/>
  <c r="N79" i="39"/>
  <c r="N77" i="39"/>
  <c r="N80" i="39"/>
  <c r="K83" i="39"/>
  <c r="N78" i="39"/>
  <c r="N67" i="39"/>
  <c r="I83" i="39"/>
  <c r="G83" i="39"/>
  <c r="N33" i="39"/>
  <c r="N76" i="39" s="1"/>
  <c r="I67" i="39"/>
  <c r="N15" i="39"/>
  <c r="N75" i="39" s="1"/>
  <c r="K68" i="39"/>
  <c r="K70" i="39" s="1"/>
  <c r="H68" i="39"/>
  <c r="H70" i="39" s="1"/>
  <c r="G68" i="39"/>
  <c r="G70" i="39" s="1"/>
  <c r="F68" i="39"/>
  <c r="F70" i="39" s="1"/>
  <c r="C68" i="39"/>
  <c r="C70" i="39" s="1"/>
  <c r="B68" i="39"/>
  <c r="B70" i="39" s="1"/>
  <c r="J68" i="39"/>
  <c r="J70" i="39" s="1"/>
  <c r="D68" i="39"/>
  <c r="D70" i="39" s="1"/>
  <c r="L68" i="39"/>
  <c r="L70" i="39" s="1"/>
  <c r="E68" i="39"/>
  <c r="E70" i="39" s="1"/>
  <c r="M68" i="39"/>
  <c r="M70" i="39" s="1"/>
  <c r="I59" i="38"/>
  <c r="I61" i="38" s="1"/>
  <c r="H59" i="38"/>
  <c r="H61" i="38" s="1"/>
  <c r="G59" i="38"/>
  <c r="G61" i="38" s="1"/>
  <c r="K59" i="38"/>
  <c r="M59" i="38"/>
  <c r="M61" i="38" s="1"/>
  <c r="J59" i="38"/>
  <c r="J61" i="38" s="1"/>
  <c r="F59" i="38"/>
  <c r="F61" i="38" s="1"/>
  <c r="E59" i="38"/>
  <c r="E61" i="38" s="1"/>
  <c r="C59" i="38"/>
  <c r="C61" i="38" s="1"/>
  <c r="N68" i="38"/>
  <c r="N67" i="38"/>
  <c r="B59" i="38"/>
  <c r="B61" i="38" s="1"/>
  <c r="N72" i="38"/>
  <c r="N53" i="38"/>
  <c r="O16" i="38" s="1"/>
  <c r="N71" i="38"/>
  <c r="N58" i="38"/>
  <c r="D59" i="38"/>
  <c r="D61" i="38" s="1"/>
  <c r="L59" i="38"/>
  <c r="L61" i="38" s="1"/>
  <c r="N57" i="38"/>
  <c r="N70" i="38"/>
  <c r="N69" i="38"/>
  <c r="N66" i="38"/>
  <c r="K58" i="37"/>
  <c r="K60" i="37" s="1"/>
  <c r="L58" i="37"/>
  <c r="L60" i="37" s="1"/>
  <c r="M58" i="37"/>
  <c r="M60" i="37" s="1"/>
  <c r="I58" i="37"/>
  <c r="I60" i="37" s="1"/>
  <c r="H58" i="37"/>
  <c r="F58" i="37"/>
  <c r="E58" i="37"/>
  <c r="E60" i="37" s="1"/>
  <c r="D58" i="37"/>
  <c r="D60" i="37" s="1"/>
  <c r="N66" i="37"/>
  <c r="C58" i="37"/>
  <c r="C60" i="37" s="1"/>
  <c r="G60" i="37"/>
  <c r="H60" i="37"/>
  <c r="J58" i="37"/>
  <c r="J60" i="37" s="1"/>
  <c r="N67" i="37"/>
  <c r="B52" i="37"/>
  <c r="N5" i="37"/>
  <c r="B56" i="37"/>
  <c r="B58" i="37" s="1"/>
  <c r="B65" i="37"/>
  <c r="N8" i="37"/>
  <c r="N71" i="37"/>
  <c r="N34" i="37"/>
  <c r="B68" i="37"/>
  <c r="N12" i="37"/>
  <c r="F52" i="37"/>
  <c r="F60" i="37" s="1"/>
  <c r="N4" i="37"/>
  <c r="F65" i="37"/>
  <c r="N14" i="37"/>
  <c r="N66" i="39" l="1"/>
  <c r="N68" i="39" s="1"/>
  <c r="N62" i="39"/>
  <c r="O10" i="39" s="1"/>
  <c r="I68" i="39"/>
  <c r="I70" i="39" s="1"/>
  <c r="O17" i="38"/>
  <c r="N59" i="38"/>
  <c r="O34" i="38"/>
  <c r="O43" i="38"/>
  <c r="O47" i="38"/>
  <c r="O26" i="38"/>
  <c r="O19" i="38"/>
  <c r="O12" i="38"/>
  <c r="O31" i="38"/>
  <c r="O38" i="38"/>
  <c r="O45" i="38"/>
  <c r="O40" i="38"/>
  <c r="O24" i="38"/>
  <c r="O10" i="38"/>
  <c r="O36" i="38"/>
  <c r="O13" i="38"/>
  <c r="O8" i="38"/>
  <c r="O9" i="38"/>
  <c r="O20" i="38"/>
  <c r="O23" i="38"/>
  <c r="O46" i="38"/>
  <c r="O37" i="38"/>
  <c r="O7" i="38"/>
  <c r="O15" i="38"/>
  <c r="O6" i="38"/>
  <c r="O50" i="38"/>
  <c r="O52" i="38"/>
  <c r="O49" i="38"/>
  <c r="O32" i="38"/>
  <c r="O18" i="38"/>
  <c r="O44" i="38"/>
  <c r="O33" i="38"/>
  <c r="O14" i="38"/>
  <c r="O42" i="38"/>
  <c r="O28" i="38"/>
  <c r="O48" i="38"/>
  <c r="O22" i="38"/>
  <c r="O29" i="38"/>
  <c r="O5" i="38"/>
  <c r="O53" i="38"/>
  <c r="O51" i="38"/>
  <c r="O41" i="38"/>
  <c r="O35" i="38"/>
  <c r="O25" i="38"/>
  <c r="O4" i="38"/>
  <c r="O39" i="38"/>
  <c r="O11" i="38"/>
  <c r="O30" i="38"/>
  <c r="O21" i="38"/>
  <c r="O27" i="38"/>
  <c r="N52" i="37"/>
  <c r="O20" i="37" s="1"/>
  <c r="N56" i="37"/>
  <c r="N65" i="37"/>
  <c r="N68" i="37"/>
  <c r="N70" i="37"/>
  <c r="N69" i="37"/>
  <c r="N57" i="37"/>
  <c r="B60" i="37"/>
  <c r="O15" i="39" l="1"/>
  <c r="O28" i="39"/>
  <c r="O55" i="39"/>
  <c r="N83" i="39"/>
  <c r="O52" i="39"/>
  <c r="O33" i="39"/>
  <c r="O45" i="39"/>
  <c r="O50" i="39"/>
  <c r="O61" i="39"/>
  <c r="O54" i="39"/>
  <c r="O30" i="39"/>
  <c r="O35" i="39"/>
  <c r="O43" i="39"/>
  <c r="O51" i="39"/>
  <c r="O26" i="39"/>
  <c r="O29" i="39"/>
  <c r="O44" i="39"/>
  <c r="O60" i="39"/>
  <c r="O21" i="39"/>
  <c r="O38" i="39"/>
  <c r="O17" i="39"/>
  <c r="O4" i="39"/>
  <c r="O58" i="39"/>
  <c r="O59" i="39"/>
  <c r="O13" i="39"/>
  <c r="O48" i="39"/>
  <c r="O31" i="39"/>
  <c r="O20" i="39"/>
  <c r="O5" i="39"/>
  <c r="O34" i="39"/>
  <c r="O57" i="39"/>
  <c r="O22" i="39"/>
  <c r="O42" i="39"/>
  <c r="O23" i="39"/>
  <c r="O37" i="39"/>
  <c r="O56" i="39"/>
  <c r="O18" i="39"/>
  <c r="O6" i="39"/>
  <c r="O14" i="39"/>
  <c r="O36" i="39"/>
  <c r="O24" i="39"/>
  <c r="O46" i="39"/>
  <c r="O39" i="39"/>
  <c r="O32" i="39"/>
  <c r="O47" i="39"/>
  <c r="O25" i="39"/>
  <c r="O7" i="39"/>
  <c r="O49" i="39"/>
  <c r="O19" i="39"/>
  <c r="O16" i="39"/>
  <c r="O27" i="39"/>
  <c r="O40" i="39"/>
  <c r="O53" i="39"/>
  <c r="O8" i="39"/>
  <c r="O9" i="39"/>
  <c r="O41" i="39"/>
  <c r="O11" i="39"/>
  <c r="O12" i="39"/>
  <c r="O23" i="37"/>
  <c r="O8" i="37"/>
  <c r="O40" i="37"/>
  <c r="O47" i="37"/>
  <c r="O5" i="37"/>
  <c r="O10" i="37"/>
  <c r="O28" i="37"/>
  <c r="O21" i="37"/>
  <c r="O42" i="37"/>
  <c r="O49" i="37"/>
  <c r="O43" i="37"/>
  <c r="O6" i="37"/>
  <c r="O14" i="37"/>
  <c r="O34" i="37"/>
  <c r="O36" i="37"/>
  <c r="O15" i="37"/>
  <c r="O48" i="37"/>
  <c r="O18" i="37"/>
  <c r="O50" i="37"/>
  <c r="O39" i="37"/>
  <c r="O12" i="37"/>
  <c r="O51" i="37"/>
  <c r="O37" i="37"/>
  <c r="O45" i="37"/>
  <c r="O26" i="37"/>
  <c r="O7" i="37"/>
  <c r="O16" i="37"/>
  <c r="O11" i="37"/>
  <c r="O52" i="37"/>
  <c r="O25" i="37"/>
  <c r="O29" i="37"/>
  <c r="O38" i="37"/>
  <c r="O19" i="37"/>
  <c r="O30" i="37"/>
  <c r="O32" i="37"/>
  <c r="O24" i="37"/>
  <c r="O22" i="37"/>
  <c r="O17" i="37"/>
  <c r="O27" i="37"/>
  <c r="O9" i="37"/>
  <c r="O35" i="37"/>
  <c r="O46" i="37"/>
  <c r="O44" i="37"/>
  <c r="O31" i="37"/>
  <c r="O33" i="37"/>
  <c r="O41" i="37"/>
  <c r="O13" i="37"/>
  <c r="O4" i="37"/>
  <c r="N58" i="37"/>
  <c r="O62" i="39" l="1"/>
  <c r="F4" i="36"/>
  <c r="C17" i="36" l="1"/>
  <c r="B51" i="36" l="1"/>
  <c r="B50" i="36"/>
  <c r="B46" i="36"/>
  <c r="B44" i="36"/>
  <c r="B42" i="36"/>
  <c r="B40" i="36"/>
  <c r="B38" i="36"/>
  <c r="B36" i="36"/>
  <c r="B34" i="36"/>
  <c r="B29" i="36"/>
  <c r="B26" i="36"/>
  <c r="B24" i="36"/>
  <c r="B22" i="36"/>
  <c r="B21" i="36"/>
  <c r="B20" i="36"/>
  <c r="B17" i="36"/>
  <c r="B16" i="36"/>
  <c r="B14" i="36"/>
  <c r="B12" i="36"/>
  <c r="B8" i="36"/>
  <c r="B6" i="36"/>
  <c r="B5" i="36"/>
  <c r="N10" i="36" l="1"/>
  <c r="N9" i="36"/>
  <c r="N8" i="36"/>
  <c r="N7" i="36"/>
  <c r="N6" i="36"/>
  <c r="N5" i="36"/>
  <c r="N4" i="36"/>
  <c r="M71" i="36"/>
  <c r="L71" i="36"/>
  <c r="K71" i="36"/>
  <c r="J71" i="36"/>
  <c r="I71" i="36"/>
  <c r="H71" i="36"/>
  <c r="G71" i="36"/>
  <c r="F71" i="36"/>
  <c r="E71" i="36"/>
  <c r="D71" i="36"/>
  <c r="C71" i="36"/>
  <c r="B71" i="36"/>
  <c r="K70" i="36"/>
  <c r="C70" i="36"/>
  <c r="L69" i="36"/>
  <c r="H69" i="36"/>
  <c r="D69" i="36"/>
  <c r="L67" i="36"/>
  <c r="J67" i="36"/>
  <c r="F67" i="36"/>
  <c r="B67" i="36"/>
  <c r="G66" i="36"/>
  <c r="L65" i="36"/>
  <c r="H65" i="36"/>
  <c r="D65" i="36"/>
  <c r="J57" i="36"/>
  <c r="F57" i="36"/>
  <c r="B57" i="36"/>
  <c r="N51" i="36"/>
  <c r="N50" i="36"/>
  <c r="N49" i="36"/>
  <c r="N48" i="36"/>
  <c r="N47" i="36"/>
  <c r="N46" i="36"/>
  <c r="N45" i="36"/>
  <c r="N44" i="36"/>
  <c r="N43" i="36"/>
  <c r="N42" i="36"/>
  <c r="N41" i="36"/>
  <c r="N40" i="36"/>
  <c r="N39" i="36"/>
  <c r="N38" i="36"/>
  <c r="N37" i="36"/>
  <c r="M68" i="36"/>
  <c r="E68" i="36"/>
  <c r="N36" i="36"/>
  <c r="N35" i="36"/>
  <c r="L68" i="36"/>
  <c r="K68" i="36"/>
  <c r="D68" i="36"/>
  <c r="C68" i="36"/>
  <c r="B68" i="36"/>
  <c r="J68" i="36"/>
  <c r="I68" i="36"/>
  <c r="H68" i="36"/>
  <c r="G68" i="36"/>
  <c r="N33" i="36"/>
  <c r="N32" i="36"/>
  <c r="N31" i="36"/>
  <c r="N30" i="36"/>
  <c r="N29" i="36"/>
  <c r="N28" i="36"/>
  <c r="N27" i="36"/>
  <c r="N26" i="36"/>
  <c r="N25" i="36"/>
  <c r="N24" i="36"/>
  <c r="N23" i="36"/>
  <c r="N22" i="36"/>
  <c r="N21" i="36"/>
  <c r="N20" i="36"/>
  <c r="M67" i="36"/>
  <c r="K67" i="36"/>
  <c r="E67" i="36"/>
  <c r="D67" i="36"/>
  <c r="C67" i="36"/>
  <c r="I67" i="36"/>
  <c r="H67" i="36"/>
  <c r="G67" i="36"/>
  <c r="N19" i="36"/>
  <c r="N18" i="36"/>
  <c r="N17" i="36"/>
  <c r="M66" i="36"/>
  <c r="L66" i="36"/>
  <c r="K66" i="36"/>
  <c r="E66" i="36"/>
  <c r="D66" i="36"/>
  <c r="C56" i="36"/>
  <c r="B66" i="36"/>
  <c r="J66" i="36"/>
  <c r="I66" i="36"/>
  <c r="H66" i="36"/>
  <c r="F66" i="36"/>
  <c r="M70" i="36"/>
  <c r="L70" i="36"/>
  <c r="E70" i="36"/>
  <c r="D70" i="36"/>
  <c r="B70" i="36"/>
  <c r="N13" i="36"/>
  <c r="J70" i="36"/>
  <c r="I70" i="36"/>
  <c r="H70" i="36"/>
  <c r="G70" i="36"/>
  <c r="F70" i="36"/>
  <c r="M57" i="36"/>
  <c r="L57" i="36"/>
  <c r="K69" i="36"/>
  <c r="J69" i="36"/>
  <c r="I57" i="36"/>
  <c r="H57" i="36"/>
  <c r="G69" i="36"/>
  <c r="F69" i="36"/>
  <c r="E57" i="36"/>
  <c r="D57" i="36"/>
  <c r="C69" i="36"/>
  <c r="B69" i="36"/>
  <c r="N11" i="36"/>
  <c r="L56" i="36"/>
  <c r="G65" i="36"/>
  <c r="M52" i="36"/>
  <c r="I52" i="36"/>
  <c r="E52" i="36"/>
  <c r="L52" i="36"/>
  <c r="G52" i="36"/>
  <c r="M56" i="36"/>
  <c r="K65" i="36"/>
  <c r="J56" i="36"/>
  <c r="I56" i="36"/>
  <c r="H52" i="36"/>
  <c r="F56" i="36"/>
  <c r="E56" i="36"/>
  <c r="D52" i="36"/>
  <c r="C65" i="36"/>
  <c r="B56" i="36"/>
  <c r="L58" i="36" l="1"/>
  <c r="L60" i="36" s="1"/>
  <c r="J58" i="36"/>
  <c r="F58" i="36"/>
  <c r="E58" i="36"/>
  <c r="E60" i="36" s="1"/>
  <c r="N71" i="36"/>
  <c r="B58" i="36"/>
  <c r="I58" i="36"/>
  <c r="I60" i="36" s="1"/>
  <c r="M58" i="36"/>
  <c r="M60" i="36" s="1"/>
  <c r="N67" i="36"/>
  <c r="N34" i="36"/>
  <c r="N68" i="36" s="1"/>
  <c r="G56" i="36"/>
  <c r="C66" i="36"/>
  <c r="N12" i="36"/>
  <c r="N15" i="36"/>
  <c r="B52" i="36"/>
  <c r="F52" i="36"/>
  <c r="J52" i="36"/>
  <c r="D56" i="36"/>
  <c r="D58" i="36" s="1"/>
  <c r="D60" i="36" s="1"/>
  <c r="H56" i="36"/>
  <c r="H58" i="36" s="1"/>
  <c r="H60" i="36" s="1"/>
  <c r="C57" i="36"/>
  <c r="C58" i="36" s="1"/>
  <c r="G57" i="36"/>
  <c r="K57" i="36"/>
  <c r="E65" i="36"/>
  <c r="I65" i="36"/>
  <c r="M65" i="36"/>
  <c r="F68" i="36"/>
  <c r="E69" i="36"/>
  <c r="I69" i="36"/>
  <c r="M69" i="36"/>
  <c r="N14" i="36"/>
  <c r="N70" i="36" s="1"/>
  <c r="C52" i="36"/>
  <c r="K52" i="36"/>
  <c r="B65" i="36"/>
  <c r="F65" i="36"/>
  <c r="J65" i="36"/>
  <c r="K56" i="36"/>
  <c r="N16" i="36"/>
  <c r="M50" i="35"/>
  <c r="M46" i="35"/>
  <c r="M44" i="35"/>
  <c r="M42" i="35"/>
  <c r="M40" i="35"/>
  <c r="M38" i="35"/>
  <c r="M36" i="35"/>
  <c r="M34" i="35"/>
  <c r="M29" i="35"/>
  <c r="M26" i="35"/>
  <c r="M24" i="35"/>
  <c r="M20" i="35"/>
  <c r="M16" i="35"/>
  <c r="M14" i="35"/>
  <c r="M12" i="35"/>
  <c r="M8" i="35"/>
  <c r="M6" i="35"/>
  <c r="M4" i="35"/>
  <c r="J60" i="36" l="1"/>
  <c r="G58" i="36"/>
  <c r="G60" i="36" s="1"/>
  <c r="F60" i="36"/>
  <c r="C60" i="36"/>
  <c r="K58" i="36"/>
  <c r="K60" i="36" s="1"/>
  <c r="N69" i="36"/>
  <c r="N57" i="36"/>
  <c r="N52" i="36"/>
  <c r="O14" i="36" s="1"/>
  <c r="B60" i="36"/>
  <c r="N66" i="36"/>
  <c r="N56" i="36"/>
  <c r="N65" i="36"/>
  <c r="L24" i="35"/>
  <c r="O15" i="36" l="1"/>
  <c r="O34" i="36"/>
  <c r="O4" i="36"/>
  <c r="O16" i="36"/>
  <c r="N58" i="36"/>
  <c r="O32" i="36"/>
  <c r="O52" i="36"/>
  <c r="O51" i="36"/>
  <c r="O30" i="36"/>
  <c r="O11" i="36"/>
  <c r="O9" i="36"/>
  <c r="O36" i="36"/>
  <c r="O41" i="36"/>
  <c r="O49" i="36"/>
  <c r="O5" i="36"/>
  <c r="O23" i="36"/>
  <c r="O42" i="36"/>
  <c r="O37" i="36"/>
  <c r="O28" i="36"/>
  <c r="O39" i="36"/>
  <c r="O50" i="36"/>
  <c r="O29" i="36"/>
  <c r="O13" i="36"/>
  <c r="O6" i="36"/>
  <c r="O10" i="36"/>
  <c r="O26" i="36"/>
  <c r="O43" i="36"/>
  <c r="O44" i="36"/>
  <c r="O18" i="36"/>
  <c r="O33" i="36"/>
  <c r="O45" i="36"/>
  <c r="O19" i="36"/>
  <c r="O35" i="36"/>
  <c r="O8" i="36"/>
  <c r="O21" i="36"/>
  <c r="O31" i="36"/>
  <c r="O48" i="36"/>
  <c r="O25" i="36"/>
  <c r="O46" i="36"/>
  <c r="O40" i="36"/>
  <c r="O24" i="36"/>
  <c r="O22" i="36"/>
  <c r="O17" i="36"/>
  <c r="O27" i="36"/>
  <c r="O38" i="36"/>
  <c r="O47" i="36"/>
  <c r="O7" i="36"/>
  <c r="O20" i="36"/>
  <c r="O12" i="36"/>
  <c r="L50" i="35"/>
  <c r="L48" i="35"/>
  <c r="L46" i="35"/>
  <c r="L44" i="35"/>
  <c r="L42" i="35"/>
  <c r="L40" i="35"/>
  <c r="L38" i="35"/>
  <c r="L36" i="35"/>
  <c r="L34" i="35"/>
  <c r="L29" i="35"/>
  <c r="L22" i="35"/>
  <c r="L16" i="35"/>
  <c r="L14" i="35"/>
  <c r="L12" i="35"/>
  <c r="L8" i="35"/>
  <c r="L6" i="35"/>
  <c r="L5" i="35"/>
  <c r="L17" i="35" l="1"/>
  <c r="K50" i="35" l="1"/>
  <c r="K48" i="35"/>
  <c r="K46" i="35"/>
  <c r="K44" i="35"/>
  <c r="K42" i="35"/>
  <c r="K40" i="35"/>
  <c r="K38" i="35"/>
  <c r="K36" i="35"/>
  <c r="K34" i="35"/>
  <c r="K29" i="35"/>
  <c r="K28" i="35"/>
  <c r="K26" i="35"/>
  <c r="K24" i="35"/>
  <c r="K22" i="35"/>
  <c r="K20" i="35"/>
  <c r="K16" i="35"/>
  <c r="K14" i="35"/>
  <c r="K12" i="35"/>
  <c r="K8" i="35"/>
  <c r="K6" i="35"/>
  <c r="K5" i="35"/>
  <c r="K4" i="35"/>
  <c r="J49" i="35" l="1"/>
  <c r="J47" i="35"/>
  <c r="J45" i="35"/>
  <c r="J43" i="35"/>
  <c r="J41" i="35"/>
  <c r="J39" i="35"/>
  <c r="J37" i="35"/>
  <c r="J35" i="35"/>
  <c r="J33" i="35"/>
  <c r="J29" i="35"/>
  <c r="J27" i="35"/>
  <c r="J25" i="35"/>
  <c r="J23" i="35"/>
  <c r="J22" i="35"/>
  <c r="J19" i="35"/>
  <c r="J15" i="35"/>
  <c r="J13" i="35"/>
  <c r="J12" i="35"/>
  <c r="J8" i="35"/>
  <c r="J6" i="35"/>
  <c r="J5" i="35"/>
  <c r="J4" i="35"/>
  <c r="I49" i="35" l="1"/>
  <c r="I47" i="35"/>
  <c r="I45" i="35"/>
  <c r="I43" i="35"/>
  <c r="I41" i="35"/>
  <c r="I39" i="35"/>
  <c r="I37" i="35"/>
  <c r="I35" i="35"/>
  <c r="I33" i="35"/>
  <c r="I29" i="35"/>
  <c r="I27" i="35"/>
  <c r="I25" i="35"/>
  <c r="I23" i="35"/>
  <c r="I22" i="35"/>
  <c r="I19" i="35"/>
  <c r="I15" i="35"/>
  <c r="I13" i="35"/>
  <c r="I12" i="35"/>
  <c r="I8" i="35"/>
  <c r="I6" i="35"/>
  <c r="I4" i="35"/>
  <c r="H23" i="35" l="1"/>
  <c r="H13" i="35"/>
  <c r="H49" i="35"/>
  <c r="H47" i="35"/>
  <c r="H45" i="35"/>
  <c r="H43" i="35"/>
  <c r="H41" i="35"/>
  <c r="H39" i="35"/>
  <c r="H37" i="35"/>
  <c r="H35" i="35"/>
  <c r="H33" i="35"/>
  <c r="H29" i="35"/>
  <c r="H27" i="35"/>
  <c r="H25" i="35"/>
  <c r="H22" i="35"/>
  <c r="H19" i="35"/>
  <c r="H15" i="35"/>
  <c r="H12" i="35"/>
  <c r="H8" i="35"/>
  <c r="H7" i="35"/>
  <c r="H6" i="35"/>
  <c r="H4" i="35"/>
  <c r="H5" i="35"/>
  <c r="G49" i="35" l="1"/>
  <c r="G47" i="35"/>
  <c r="G45" i="35"/>
  <c r="G43" i="35"/>
  <c r="G41" i="35"/>
  <c r="G39" i="35"/>
  <c r="G37" i="35"/>
  <c r="G35" i="35"/>
  <c r="G33" i="35"/>
  <c r="G29" i="35"/>
  <c r="G27" i="35"/>
  <c r="G25" i="35"/>
  <c r="G23" i="35"/>
  <c r="G22" i="35"/>
  <c r="G19" i="35"/>
  <c r="G17" i="35"/>
  <c r="G15" i="35"/>
  <c r="G13" i="35"/>
  <c r="G12" i="35"/>
  <c r="G8" i="35"/>
  <c r="G7" i="35"/>
  <c r="G6" i="35"/>
  <c r="G5" i="35"/>
  <c r="F50" i="35" l="1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29" i="35"/>
  <c r="F28" i="35"/>
  <c r="F27" i="35"/>
  <c r="F25" i="35"/>
  <c r="F24" i="35"/>
  <c r="F23" i="35"/>
  <c r="F22" i="35"/>
  <c r="F20" i="35"/>
  <c r="F19" i="35"/>
  <c r="F16" i="35"/>
  <c r="F15" i="35"/>
  <c r="F14" i="35"/>
  <c r="F13" i="35"/>
  <c r="F12" i="35"/>
  <c r="F8" i="35"/>
  <c r="F7" i="35"/>
  <c r="F6" i="35"/>
  <c r="F4" i="35"/>
  <c r="F26" i="35"/>
  <c r="F17" i="35"/>
  <c r="E50" i="35" l="1"/>
  <c r="E48" i="35"/>
  <c r="E46" i="35"/>
  <c r="E44" i="35"/>
  <c r="E42" i="35"/>
  <c r="E40" i="35"/>
  <c r="E38" i="35"/>
  <c r="E36" i="35"/>
  <c r="E34" i="35"/>
  <c r="E29" i="35"/>
  <c r="E28" i="35"/>
  <c r="E26" i="35"/>
  <c r="E24" i="35"/>
  <c r="E22" i="35"/>
  <c r="E20" i="35"/>
  <c r="E17" i="35"/>
  <c r="E16" i="35"/>
  <c r="E14" i="35"/>
  <c r="E12" i="35"/>
  <c r="E8" i="35"/>
  <c r="E7" i="35"/>
  <c r="E6" i="35"/>
  <c r="E4" i="35"/>
  <c r="D50" i="35" l="1"/>
  <c r="D46" i="35"/>
  <c r="D44" i="35"/>
  <c r="D42" i="35"/>
  <c r="D40" i="35"/>
  <c r="D38" i="35"/>
  <c r="D36" i="35"/>
  <c r="D34" i="35"/>
  <c r="D29" i="35"/>
  <c r="D28" i="35"/>
  <c r="D26" i="35"/>
  <c r="D24" i="35"/>
  <c r="D22" i="35"/>
  <c r="D20" i="35"/>
  <c r="D18" i="35"/>
  <c r="D16" i="35"/>
  <c r="D14" i="35"/>
  <c r="D12" i="35"/>
  <c r="D8" i="35"/>
  <c r="D6" i="35"/>
  <c r="D4" i="35"/>
  <c r="C50" i="35" l="1"/>
  <c r="C48" i="35"/>
  <c r="C46" i="35"/>
  <c r="C44" i="35"/>
  <c r="C42" i="35"/>
  <c r="C40" i="35"/>
  <c r="C38" i="35"/>
  <c r="C36" i="35"/>
  <c r="C34" i="35"/>
  <c r="C29" i="35"/>
  <c r="C26" i="35"/>
  <c r="C24" i="35"/>
  <c r="C22" i="35"/>
  <c r="C20" i="35"/>
  <c r="C16" i="35"/>
  <c r="C14" i="35"/>
  <c r="C12" i="35"/>
  <c r="C8" i="35"/>
  <c r="C6" i="35"/>
  <c r="C5" i="35"/>
  <c r="C4" i="35"/>
  <c r="B50" i="35" l="1"/>
  <c r="B46" i="35"/>
  <c r="B44" i="35"/>
  <c r="B42" i="35"/>
  <c r="B40" i="35"/>
  <c r="B38" i="35"/>
  <c r="B36" i="35"/>
  <c r="B34" i="35"/>
  <c r="B29" i="35"/>
  <c r="B28" i="35"/>
  <c r="B24" i="35"/>
  <c r="B22" i="35"/>
  <c r="B20" i="35"/>
  <c r="B16" i="35"/>
  <c r="B14" i="35"/>
  <c r="B12" i="35"/>
  <c r="B8" i="35"/>
  <c r="B6" i="35"/>
  <c r="B5" i="35"/>
  <c r="B4" i="35"/>
  <c r="B26" i="35"/>
  <c r="B21" i="35"/>
  <c r="M71" i="35" l="1"/>
  <c r="L71" i="35"/>
  <c r="K71" i="35"/>
  <c r="J71" i="35"/>
  <c r="I71" i="35"/>
  <c r="H71" i="35"/>
  <c r="G71" i="35"/>
  <c r="F71" i="35"/>
  <c r="E71" i="35"/>
  <c r="D71" i="35"/>
  <c r="C71" i="35"/>
  <c r="B71" i="35"/>
  <c r="L70" i="35"/>
  <c r="I70" i="35"/>
  <c r="H70" i="35"/>
  <c r="G70" i="35"/>
  <c r="F70" i="35"/>
  <c r="E70" i="35"/>
  <c r="D70" i="35"/>
  <c r="C70" i="35"/>
  <c r="B70" i="35"/>
  <c r="I69" i="35"/>
  <c r="H69" i="35"/>
  <c r="G69" i="35"/>
  <c r="F69" i="35"/>
  <c r="E69" i="35"/>
  <c r="D69" i="35"/>
  <c r="C69" i="35"/>
  <c r="B69" i="35"/>
  <c r="J68" i="35"/>
  <c r="I68" i="35"/>
  <c r="H68" i="35"/>
  <c r="G68" i="35"/>
  <c r="F68" i="35"/>
  <c r="E68" i="35"/>
  <c r="D68" i="35"/>
  <c r="C68" i="35"/>
  <c r="B68" i="35"/>
  <c r="K67" i="35"/>
  <c r="I67" i="35"/>
  <c r="H67" i="35"/>
  <c r="G67" i="35"/>
  <c r="F67" i="35"/>
  <c r="E67" i="35"/>
  <c r="D67" i="35"/>
  <c r="C67" i="35"/>
  <c r="B67" i="35"/>
  <c r="I66" i="35"/>
  <c r="H66" i="35"/>
  <c r="G66" i="35"/>
  <c r="F66" i="35"/>
  <c r="E66" i="35"/>
  <c r="D66" i="35"/>
  <c r="C66" i="35"/>
  <c r="B66" i="35"/>
  <c r="I65" i="35"/>
  <c r="H65" i="35"/>
  <c r="G65" i="35"/>
  <c r="F65" i="35"/>
  <c r="E65" i="35"/>
  <c r="D65" i="35"/>
  <c r="C65" i="35"/>
  <c r="B65" i="35"/>
  <c r="L57" i="35"/>
  <c r="K57" i="35"/>
  <c r="I57" i="35"/>
  <c r="H57" i="35"/>
  <c r="G57" i="35"/>
  <c r="F57" i="35"/>
  <c r="D57" i="35"/>
  <c r="C57" i="35"/>
  <c r="B57" i="35"/>
  <c r="I56" i="35"/>
  <c r="H56" i="35"/>
  <c r="G56" i="35"/>
  <c r="F56" i="35"/>
  <c r="E56" i="35"/>
  <c r="D56" i="35"/>
  <c r="C56" i="35"/>
  <c r="B56" i="35"/>
  <c r="B58" i="35" s="1"/>
  <c r="I52" i="35"/>
  <c r="H52" i="35"/>
  <c r="G52" i="35"/>
  <c r="F52" i="35"/>
  <c r="D52" i="35"/>
  <c r="C52" i="35"/>
  <c r="B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M68" i="35"/>
  <c r="L68" i="35"/>
  <c r="N34" i="35"/>
  <c r="N33" i="35"/>
  <c r="N32" i="35"/>
  <c r="N31" i="35"/>
  <c r="N30" i="35"/>
  <c r="M69" i="35"/>
  <c r="N29" i="35"/>
  <c r="N28" i="35"/>
  <c r="N27" i="35"/>
  <c r="N26" i="35"/>
  <c r="N25" i="35"/>
  <c r="M66" i="35"/>
  <c r="L66" i="35"/>
  <c r="N24" i="35"/>
  <c r="N23" i="35"/>
  <c r="N22" i="35"/>
  <c r="N21" i="35"/>
  <c r="M67" i="35"/>
  <c r="L67" i="35"/>
  <c r="N20" i="35"/>
  <c r="J67" i="35"/>
  <c r="N18" i="35"/>
  <c r="N17" i="35"/>
  <c r="E52" i="35"/>
  <c r="N16" i="35"/>
  <c r="K66" i="35"/>
  <c r="N15" i="35"/>
  <c r="J66" i="35"/>
  <c r="N14" i="35"/>
  <c r="M70" i="35"/>
  <c r="K70" i="35"/>
  <c r="N13" i="35"/>
  <c r="J70" i="35"/>
  <c r="M57" i="35"/>
  <c r="L69" i="35"/>
  <c r="K69" i="35"/>
  <c r="J57" i="35"/>
  <c r="N11" i="35"/>
  <c r="N10" i="35"/>
  <c r="N9" i="35"/>
  <c r="N8" i="35"/>
  <c r="N7" i="35"/>
  <c r="K52" i="35"/>
  <c r="J52" i="35"/>
  <c r="N5" i="35"/>
  <c r="M52" i="35"/>
  <c r="L65" i="35"/>
  <c r="K56" i="35"/>
  <c r="K58" i="35" l="1"/>
  <c r="K60" i="35" s="1"/>
  <c r="I58" i="35"/>
  <c r="I60" i="35" s="1"/>
  <c r="H58" i="35"/>
  <c r="H60" i="35" s="1"/>
  <c r="G58" i="35"/>
  <c r="G60" i="35" s="1"/>
  <c r="F58" i="35"/>
  <c r="F60" i="35" s="1"/>
  <c r="D58" i="35"/>
  <c r="D60" i="35" s="1"/>
  <c r="B60" i="35"/>
  <c r="N70" i="35"/>
  <c r="N71" i="35"/>
  <c r="C58" i="35"/>
  <c r="C60" i="35" s="1"/>
  <c r="N66" i="35"/>
  <c r="N68" i="35"/>
  <c r="N6" i="35"/>
  <c r="L56" i="35"/>
  <c r="L58" i="35" s="1"/>
  <c r="N19" i="35"/>
  <c r="J65" i="35"/>
  <c r="K68" i="35"/>
  <c r="J69" i="35"/>
  <c r="L52" i="35"/>
  <c r="N52" i="35" s="1"/>
  <c r="J56" i="35"/>
  <c r="J58" i="35" s="1"/>
  <c r="J60" i="35" s="1"/>
  <c r="E57" i="35"/>
  <c r="E58" i="35" s="1"/>
  <c r="E60" i="35" s="1"/>
  <c r="K65" i="35"/>
  <c r="N12" i="35"/>
  <c r="N57" i="35" s="1"/>
  <c r="M65" i="35"/>
  <c r="N4" i="35"/>
  <c r="M56" i="35"/>
  <c r="M58" i="35" s="1"/>
  <c r="M60" i="35" s="1"/>
  <c r="M6" i="34"/>
  <c r="L60" i="35" l="1"/>
  <c r="O51" i="35"/>
  <c r="O18" i="35"/>
  <c r="O11" i="35"/>
  <c r="O9" i="35"/>
  <c r="O7" i="35"/>
  <c r="O52" i="35"/>
  <c r="O49" i="35"/>
  <c r="O30" i="35"/>
  <c r="O27" i="35"/>
  <c r="O15" i="35"/>
  <c r="O13" i="35"/>
  <c r="O32" i="35"/>
  <c r="O5" i="35"/>
  <c r="O28" i="35"/>
  <c r="O33" i="35"/>
  <c r="O39" i="35"/>
  <c r="O47" i="35"/>
  <c r="O29" i="35"/>
  <c r="O40" i="35"/>
  <c r="O8" i="35"/>
  <c r="O23" i="35"/>
  <c r="O41" i="35"/>
  <c r="O50" i="35"/>
  <c r="O34" i="35"/>
  <c r="O42" i="35"/>
  <c r="O14" i="35"/>
  <c r="O25" i="35"/>
  <c r="O16" i="35"/>
  <c r="O35" i="35"/>
  <c r="O43" i="35"/>
  <c r="O36" i="35"/>
  <c r="O44" i="35"/>
  <c r="O20" i="35"/>
  <c r="O31" i="35"/>
  <c r="O24" i="35"/>
  <c r="O26" i="35"/>
  <c r="O37" i="35"/>
  <c r="O45" i="35"/>
  <c r="O21" i="35"/>
  <c r="O38" i="35"/>
  <c r="O46" i="35"/>
  <c r="O22" i="35"/>
  <c r="O48" i="35"/>
  <c r="O10" i="35"/>
  <c r="O17" i="35"/>
  <c r="N56" i="35"/>
  <c r="N58" i="35" s="1"/>
  <c r="O4" i="35"/>
  <c r="N65" i="35"/>
  <c r="O6" i="35"/>
  <c r="N69" i="35"/>
  <c r="O12" i="35"/>
  <c r="N67" i="35"/>
  <c r="O19" i="35"/>
  <c r="M50" i="34"/>
  <c r="M46" i="34"/>
  <c r="M44" i="34"/>
  <c r="M42" i="34"/>
  <c r="M40" i="34"/>
  <c r="M38" i="34"/>
  <c r="M36" i="34"/>
  <c r="M34" i="34"/>
  <c r="M29" i="34"/>
  <c r="M28" i="34"/>
  <c r="M24" i="34"/>
  <c r="M22" i="34"/>
  <c r="M20" i="34"/>
  <c r="M16" i="34"/>
  <c r="M14" i="34"/>
  <c r="M12" i="34"/>
  <c r="M8" i="34"/>
  <c r="M5" i="34"/>
  <c r="M4" i="34"/>
  <c r="L50" i="34" l="1"/>
  <c r="L48" i="34"/>
  <c r="L46" i="34"/>
  <c r="L44" i="34"/>
  <c r="L42" i="34"/>
  <c r="L40" i="34"/>
  <c r="L38" i="34"/>
  <c r="L36" i="34"/>
  <c r="L34" i="34"/>
  <c r="L29" i="34"/>
  <c r="L24" i="34"/>
  <c r="L22" i="34"/>
  <c r="L20" i="34"/>
  <c r="L16" i="34"/>
  <c r="L14" i="34"/>
  <c r="L12" i="34"/>
  <c r="L8" i="34"/>
  <c r="L6" i="34"/>
  <c r="L5" i="34"/>
  <c r="L4" i="34"/>
  <c r="K50" i="34" l="1"/>
  <c r="K46" i="34"/>
  <c r="K44" i="34"/>
  <c r="K42" i="34"/>
  <c r="K40" i="34"/>
  <c r="K38" i="34"/>
  <c r="K36" i="34"/>
  <c r="K34" i="34"/>
  <c r="K29" i="34"/>
  <c r="K28" i="34"/>
  <c r="K26" i="34"/>
  <c r="K24" i="34"/>
  <c r="K22" i="34"/>
  <c r="K20" i="34"/>
  <c r="K16" i="34"/>
  <c r="K14" i="34"/>
  <c r="K12" i="34"/>
  <c r="K8" i="34"/>
  <c r="K6" i="34"/>
  <c r="K5" i="34"/>
  <c r="K4" i="34"/>
  <c r="J49" i="34" l="1"/>
  <c r="J45" i="34"/>
  <c r="J43" i="34"/>
  <c r="J41" i="34"/>
  <c r="J39" i="34"/>
  <c r="J37" i="34"/>
  <c r="J35" i="34"/>
  <c r="J33" i="34"/>
  <c r="J29" i="34"/>
  <c r="J27" i="34"/>
  <c r="J25" i="34"/>
  <c r="J23" i="34"/>
  <c r="J22" i="34"/>
  <c r="J19" i="34"/>
  <c r="J17" i="34"/>
  <c r="J15" i="34"/>
  <c r="J13" i="34"/>
  <c r="J12" i="34"/>
  <c r="J8" i="34"/>
  <c r="J6" i="34"/>
  <c r="E17" i="34" l="1"/>
  <c r="G56" i="32" l="1"/>
  <c r="F56" i="32"/>
  <c r="H56" i="32"/>
  <c r="M71" i="34" l="1"/>
  <c r="L71" i="34"/>
  <c r="K71" i="34"/>
  <c r="J71" i="34"/>
  <c r="I71" i="34"/>
  <c r="H71" i="34"/>
  <c r="G71" i="34"/>
  <c r="F71" i="34"/>
  <c r="E71" i="34"/>
  <c r="D71" i="34"/>
  <c r="C71" i="34"/>
  <c r="B71" i="34"/>
  <c r="M70" i="34"/>
  <c r="L70" i="34"/>
  <c r="K70" i="34"/>
  <c r="J70" i="34"/>
  <c r="I70" i="34"/>
  <c r="H70" i="34"/>
  <c r="G70" i="34"/>
  <c r="F70" i="34"/>
  <c r="E70" i="34"/>
  <c r="D70" i="34"/>
  <c r="C70" i="34"/>
  <c r="B70" i="34"/>
  <c r="M69" i="34"/>
  <c r="L69" i="34"/>
  <c r="K69" i="34"/>
  <c r="J69" i="34"/>
  <c r="I69" i="34"/>
  <c r="H69" i="34"/>
  <c r="G69" i="34"/>
  <c r="F69" i="34"/>
  <c r="E69" i="34"/>
  <c r="D69" i="34"/>
  <c r="C69" i="34"/>
  <c r="B69" i="34"/>
  <c r="M68" i="34"/>
  <c r="L68" i="34"/>
  <c r="K68" i="34"/>
  <c r="J68" i="34"/>
  <c r="I68" i="34"/>
  <c r="H68" i="34"/>
  <c r="G68" i="34"/>
  <c r="F68" i="34"/>
  <c r="E68" i="34"/>
  <c r="D68" i="34"/>
  <c r="C68" i="34"/>
  <c r="B68" i="34"/>
  <c r="M67" i="34"/>
  <c r="L67" i="34"/>
  <c r="K67" i="34"/>
  <c r="J67" i="34"/>
  <c r="I67" i="34"/>
  <c r="H67" i="34"/>
  <c r="G67" i="34"/>
  <c r="F67" i="34"/>
  <c r="E67" i="34"/>
  <c r="D67" i="34"/>
  <c r="C67" i="34"/>
  <c r="B67" i="34"/>
  <c r="M66" i="34"/>
  <c r="L66" i="34"/>
  <c r="K66" i="34"/>
  <c r="J66" i="34"/>
  <c r="I66" i="34"/>
  <c r="H66" i="34"/>
  <c r="G66" i="34"/>
  <c r="F66" i="34"/>
  <c r="E66" i="34"/>
  <c r="D66" i="34"/>
  <c r="C66" i="34"/>
  <c r="B66" i="34"/>
  <c r="M65" i="34"/>
  <c r="L65" i="34"/>
  <c r="K65" i="34"/>
  <c r="J65" i="34"/>
  <c r="I65" i="34"/>
  <c r="H65" i="34"/>
  <c r="G65" i="34"/>
  <c r="F65" i="34"/>
  <c r="E65" i="34"/>
  <c r="D65" i="34"/>
  <c r="C65" i="34"/>
  <c r="B65" i="34"/>
  <c r="M57" i="34"/>
  <c r="L57" i="34"/>
  <c r="K57" i="34"/>
  <c r="J57" i="34"/>
  <c r="I57" i="34"/>
  <c r="H57" i="34"/>
  <c r="G57" i="34"/>
  <c r="F57" i="34"/>
  <c r="E57" i="34"/>
  <c r="D57" i="34"/>
  <c r="C57" i="34"/>
  <c r="B57" i="34"/>
  <c r="M56" i="34"/>
  <c r="L56" i="34"/>
  <c r="K56" i="34"/>
  <c r="J56" i="34"/>
  <c r="I56" i="34"/>
  <c r="H56" i="34"/>
  <c r="G56" i="34"/>
  <c r="F56" i="34"/>
  <c r="E56" i="34"/>
  <c r="D56" i="34"/>
  <c r="C56" i="34"/>
  <c r="B56" i="34"/>
  <c r="M52" i="34"/>
  <c r="L52" i="34"/>
  <c r="K52" i="34"/>
  <c r="J52" i="34"/>
  <c r="I52" i="34"/>
  <c r="H52" i="34"/>
  <c r="G52" i="34"/>
  <c r="E52" i="34"/>
  <c r="D52" i="34"/>
  <c r="C52" i="34"/>
  <c r="B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B58" i="34" l="1"/>
  <c r="M58" i="34"/>
  <c r="M60" i="34" s="1"/>
  <c r="L58" i="34"/>
  <c r="L60" i="34" s="1"/>
  <c r="K58" i="34"/>
  <c r="K60" i="34" s="1"/>
  <c r="I58" i="34"/>
  <c r="I60" i="34" s="1"/>
  <c r="H58" i="34"/>
  <c r="H60" i="34" s="1"/>
  <c r="G58" i="34"/>
  <c r="G60" i="34" s="1"/>
  <c r="E58" i="34"/>
  <c r="E60" i="34" s="1"/>
  <c r="D58" i="34"/>
  <c r="D60" i="34" s="1"/>
  <c r="N67" i="34"/>
  <c r="N66" i="34"/>
  <c r="C58" i="34"/>
  <c r="C60" i="34" s="1"/>
  <c r="N69" i="34"/>
  <c r="B60" i="34"/>
  <c r="F58" i="34"/>
  <c r="J58" i="34"/>
  <c r="J60" i="34" s="1"/>
  <c r="N56" i="34"/>
  <c r="N70" i="34"/>
  <c r="N68" i="34"/>
  <c r="N71" i="34"/>
  <c r="N57" i="34"/>
  <c r="F52" i="34"/>
  <c r="N65" i="34"/>
  <c r="J17" i="33"/>
  <c r="F60" i="34" l="1"/>
  <c r="N58" i="34"/>
  <c r="N52" i="34"/>
  <c r="F17" i="33"/>
  <c r="O43" i="34" l="1"/>
  <c r="O29" i="34"/>
  <c r="O16" i="34"/>
  <c r="O8" i="34"/>
  <c r="O35" i="34"/>
  <c r="O27" i="34"/>
  <c r="O21" i="34"/>
  <c r="O14" i="34"/>
  <c r="O6" i="34"/>
  <c r="O52" i="34"/>
  <c r="O49" i="34"/>
  <c r="O45" i="34"/>
  <c r="O39" i="34"/>
  <c r="O33" i="34"/>
  <c r="O23" i="34"/>
  <c r="O10" i="34"/>
  <c r="O51" i="34"/>
  <c r="O47" i="34"/>
  <c r="O41" i="34"/>
  <c r="O37" i="34"/>
  <c r="O31" i="34"/>
  <c r="O25" i="34"/>
  <c r="O19" i="34"/>
  <c r="O12" i="34"/>
  <c r="O4" i="34"/>
  <c r="O17" i="34"/>
  <c r="O28" i="34"/>
  <c r="O44" i="34"/>
  <c r="O11" i="34"/>
  <c r="O30" i="34"/>
  <c r="O46" i="34"/>
  <c r="O15" i="34"/>
  <c r="O32" i="34"/>
  <c r="O48" i="34"/>
  <c r="O18" i="34"/>
  <c r="O34" i="34"/>
  <c r="O50" i="34"/>
  <c r="O36" i="34"/>
  <c r="O38" i="34"/>
  <c r="O5" i="34"/>
  <c r="O9" i="34"/>
  <c r="O24" i="34"/>
  <c r="O40" i="34"/>
  <c r="O7" i="34"/>
  <c r="O26" i="34"/>
  <c r="O42" i="34"/>
  <c r="O13" i="34"/>
  <c r="O20" i="34"/>
  <c r="O22" i="34"/>
  <c r="M71" i="33"/>
  <c r="L71" i="33"/>
  <c r="K71" i="33"/>
  <c r="J71" i="33"/>
  <c r="I71" i="33"/>
  <c r="H71" i="33"/>
  <c r="G71" i="33"/>
  <c r="F71" i="33"/>
  <c r="E71" i="33"/>
  <c r="D71" i="33"/>
  <c r="C71" i="33"/>
  <c r="B71" i="33"/>
  <c r="M70" i="33"/>
  <c r="L70" i="33"/>
  <c r="K70" i="33"/>
  <c r="J70" i="33"/>
  <c r="I70" i="33"/>
  <c r="H70" i="33"/>
  <c r="G70" i="33"/>
  <c r="F70" i="33"/>
  <c r="E70" i="33"/>
  <c r="D70" i="33"/>
  <c r="C70" i="33"/>
  <c r="B70" i="33"/>
  <c r="M69" i="33"/>
  <c r="L69" i="33"/>
  <c r="K69" i="33"/>
  <c r="J69" i="33"/>
  <c r="I69" i="33"/>
  <c r="H69" i="33"/>
  <c r="G69" i="33"/>
  <c r="F69" i="33"/>
  <c r="E69" i="33"/>
  <c r="D69" i="33"/>
  <c r="C69" i="33"/>
  <c r="B69" i="33"/>
  <c r="M68" i="33"/>
  <c r="L68" i="33"/>
  <c r="K68" i="33"/>
  <c r="J68" i="33"/>
  <c r="I68" i="33"/>
  <c r="H68" i="33"/>
  <c r="G68" i="33"/>
  <c r="F68" i="33"/>
  <c r="E68" i="33"/>
  <c r="D68" i="33"/>
  <c r="C68" i="33"/>
  <c r="B68" i="33"/>
  <c r="M67" i="33"/>
  <c r="L67" i="33"/>
  <c r="K67" i="33"/>
  <c r="J67" i="33"/>
  <c r="I67" i="33"/>
  <c r="H67" i="33"/>
  <c r="G67" i="33"/>
  <c r="F67" i="33"/>
  <c r="E67" i="33"/>
  <c r="D67" i="33"/>
  <c r="C67" i="33"/>
  <c r="B67" i="33"/>
  <c r="M66" i="33"/>
  <c r="L66" i="33"/>
  <c r="K66" i="33"/>
  <c r="J66" i="33"/>
  <c r="I66" i="33"/>
  <c r="H66" i="33"/>
  <c r="G66" i="33"/>
  <c r="F66" i="33"/>
  <c r="E66" i="33"/>
  <c r="D66" i="33"/>
  <c r="C66" i="33"/>
  <c r="B66" i="33"/>
  <c r="M65" i="33"/>
  <c r="L65" i="33"/>
  <c r="K65" i="33"/>
  <c r="J65" i="33"/>
  <c r="I65" i="33"/>
  <c r="H65" i="33"/>
  <c r="G65" i="33"/>
  <c r="F65" i="33"/>
  <c r="E65" i="33"/>
  <c r="D65" i="33"/>
  <c r="C65" i="33"/>
  <c r="B65" i="33"/>
  <c r="M57" i="33"/>
  <c r="L57" i="33"/>
  <c r="K57" i="33"/>
  <c r="J57" i="33"/>
  <c r="I57" i="33"/>
  <c r="H57" i="33"/>
  <c r="G57" i="33"/>
  <c r="F57" i="33"/>
  <c r="E57" i="33"/>
  <c r="D57" i="33"/>
  <c r="C57" i="33"/>
  <c r="B57" i="33"/>
  <c r="M56" i="33"/>
  <c r="L56" i="33"/>
  <c r="K56" i="33"/>
  <c r="J56" i="33"/>
  <c r="J58" i="33" s="1"/>
  <c r="I56" i="33"/>
  <c r="I58" i="33" s="1"/>
  <c r="H56" i="33"/>
  <c r="G56" i="33"/>
  <c r="F56" i="33"/>
  <c r="F58" i="33" s="1"/>
  <c r="E56" i="33"/>
  <c r="D56" i="33"/>
  <c r="C56" i="33"/>
  <c r="B56" i="33"/>
  <c r="B58" i="33" s="1"/>
  <c r="M52" i="33"/>
  <c r="L52" i="33"/>
  <c r="K52" i="33"/>
  <c r="J52" i="33"/>
  <c r="I52" i="33"/>
  <c r="H52" i="33"/>
  <c r="G52" i="33"/>
  <c r="F52" i="33"/>
  <c r="E52" i="33"/>
  <c r="D52" i="33"/>
  <c r="C52" i="33"/>
  <c r="B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M58" i="33" l="1"/>
  <c r="M60" i="33" s="1"/>
  <c r="K58" i="33"/>
  <c r="K60" i="33" s="1"/>
  <c r="N71" i="33"/>
  <c r="G58" i="33"/>
  <c r="G60" i="33" s="1"/>
  <c r="N67" i="33"/>
  <c r="E58" i="33"/>
  <c r="E60" i="33" s="1"/>
  <c r="D58" i="33"/>
  <c r="D60" i="33" s="1"/>
  <c r="C58" i="33"/>
  <c r="C60" i="33" s="1"/>
  <c r="N56" i="33"/>
  <c r="N69" i="33"/>
  <c r="N52" i="33"/>
  <c r="O34" i="33" s="1"/>
  <c r="B60" i="33"/>
  <c r="F60" i="33"/>
  <c r="J60" i="33"/>
  <c r="H58" i="33"/>
  <c r="H60" i="33" s="1"/>
  <c r="L58" i="33"/>
  <c r="L60" i="33" s="1"/>
  <c r="I60" i="33"/>
  <c r="N68" i="33"/>
  <c r="N65" i="33"/>
  <c r="N66" i="33"/>
  <c r="N70" i="33"/>
  <c r="N57" i="33"/>
  <c r="M71" i="32"/>
  <c r="L71" i="32"/>
  <c r="K71" i="32"/>
  <c r="J71" i="32"/>
  <c r="I71" i="32"/>
  <c r="H71" i="32"/>
  <c r="G71" i="32"/>
  <c r="F71" i="32"/>
  <c r="E71" i="32"/>
  <c r="D71" i="32"/>
  <c r="C71" i="32"/>
  <c r="B71" i="32"/>
  <c r="L70" i="32"/>
  <c r="K70" i="32"/>
  <c r="J70" i="32"/>
  <c r="I70" i="32"/>
  <c r="H70" i="32"/>
  <c r="G70" i="32"/>
  <c r="F70" i="32"/>
  <c r="E70" i="32"/>
  <c r="D70" i="32"/>
  <c r="C70" i="32"/>
  <c r="B70" i="32"/>
  <c r="M69" i="32"/>
  <c r="L69" i="32"/>
  <c r="K69" i="32"/>
  <c r="J69" i="32"/>
  <c r="I69" i="32"/>
  <c r="H69" i="32"/>
  <c r="G69" i="32"/>
  <c r="F69" i="32"/>
  <c r="E69" i="32"/>
  <c r="D69" i="32"/>
  <c r="C69" i="32"/>
  <c r="B69" i="32"/>
  <c r="M68" i="32"/>
  <c r="L68" i="32"/>
  <c r="K68" i="32"/>
  <c r="J68" i="32"/>
  <c r="I68" i="32"/>
  <c r="H68" i="32"/>
  <c r="G68" i="32"/>
  <c r="F68" i="32"/>
  <c r="E68" i="32"/>
  <c r="D68" i="32"/>
  <c r="C68" i="32"/>
  <c r="B68" i="32"/>
  <c r="M67" i="32"/>
  <c r="L67" i="32"/>
  <c r="K67" i="32"/>
  <c r="J67" i="32"/>
  <c r="I67" i="32"/>
  <c r="H67" i="32"/>
  <c r="G67" i="32"/>
  <c r="F67" i="32"/>
  <c r="E67" i="32"/>
  <c r="D67" i="32"/>
  <c r="C67" i="32"/>
  <c r="B67" i="32"/>
  <c r="K66" i="32"/>
  <c r="J66" i="32"/>
  <c r="I66" i="32"/>
  <c r="H66" i="32"/>
  <c r="G66" i="32"/>
  <c r="F66" i="32"/>
  <c r="E66" i="32"/>
  <c r="D66" i="32"/>
  <c r="C66" i="32"/>
  <c r="B66" i="32"/>
  <c r="M65" i="32"/>
  <c r="K65" i="32"/>
  <c r="J65" i="32"/>
  <c r="I65" i="32"/>
  <c r="H65" i="32"/>
  <c r="G65" i="32"/>
  <c r="F65" i="32"/>
  <c r="E65" i="32"/>
  <c r="D65" i="32"/>
  <c r="C65" i="32"/>
  <c r="B65" i="32"/>
  <c r="K57" i="32"/>
  <c r="J57" i="32"/>
  <c r="I57" i="32"/>
  <c r="H57" i="32"/>
  <c r="G57" i="32"/>
  <c r="F57" i="32"/>
  <c r="E57" i="32"/>
  <c r="D57" i="32"/>
  <c r="C57" i="32"/>
  <c r="B57" i="32"/>
  <c r="K56" i="32"/>
  <c r="J56" i="32"/>
  <c r="I56" i="32"/>
  <c r="E56" i="32"/>
  <c r="D56" i="32"/>
  <c r="C56" i="32"/>
  <c r="B56" i="32"/>
  <c r="K52" i="32"/>
  <c r="J52" i="32"/>
  <c r="I52" i="32"/>
  <c r="H52" i="32"/>
  <c r="G52" i="32"/>
  <c r="F52" i="32"/>
  <c r="E52" i="32"/>
  <c r="D52" i="32"/>
  <c r="C52" i="32"/>
  <c r="B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M70" i="32"/>
  <c r="N25" i="32"/>
  <c r="N24" i="32"/>
  <c r="N23" i="32"/>
  <c r="N22" i="32"/>
  <c r="N21" i="32"/>
  <c r="N20" i="32"/>
  <c r="N19" i="32"/>
  <c r="N18" i="32"/>
  <c r="M57" i="32"/>
  <c r="L57" i="32"/>
  <c r="M52" i="32"/>
  <c r="N16" i="32"/>
  <c r="N15" i="32"/>
  <c r="N14" i="32"/>
  <c r="N13" i="32"/>
  <c r="N12" i="32"/>
  <c r="N11" i="32"/>
  <c r="N10" i="32"/>
  <c r="N9" i="32"/>
  <c r="N8" i="32"/>
  <c r="N7" i="32"/>
  <c r="N6" i="32"/>
  <c r="L65" i="32"/>
  <c r="N4" i="32"/>
  <c r="C58" i="32" l="1"/>
  <c r="D58" i="32"/>
  <c r="D60" i="32" s="1"/>
  <c r="N58" i="33"/>
  <c r="O46" i="33"/>
  <c r="O14" i="33"/>
  <c r="O51" i="33"/>
  <c r="O22" i="33"/>
  <c r="O15" i="33"/>
  <c r="O30" i="33"/>
  <c r="O17" i="33"/>
  <c r="O6" i="33"/>
  <c r="O38" i="33"/>
  <c r="O8" i="33"/>
  <c r="O16" i="33"/>
  <c r="O24" i="33"/>
  <c r="O32" i="33"/>
  <c r="O40" i="33"/>
  <c r="O48" i="33"/>
  <c r="O39" i="33"/>
  <c r="O7" i="33"/>
  <c r="O5" i="33"/>
  <c r="O41" i="33"/>
  <c r="O35" i="33"/>
  <c r="O29" i="33"/>
  <c r="O19" i="33"/>
  <c r="O10" i="33"/>
  <c r="O18" i="33"/>
  <c r="O26" i="33"/>
  <c r="O42" i="33"/>
  <c r="O50" i="33"/>
  <c r="O31" i="33"/>
  <c r="O37" i="33"/>
  <c r="O21" i="33"/>
  <c r="O49" i="33"/>
  <c r="O27" i="33"/>
  <c r="O13" i="33"/>
  <c r="O4" i="33"/>
  <c r="O12" i="33"/>
  <c r="O20" i="33"/>
  <c r="O28" i="33"/>
  <c r="O36" i="33"/>
  <c r="O44" i="33"/>
  <c r="O52" i="33"/>
  <c r="O23" i="33"/>
  <c r="O33" i="33"/>
  <c r="O25" i="33"/>
  <c r="O47" i="33"/>
  <c r="O11" i="33"/>
  <c r="O43" i="33"/>
  <c r="O45" i="33"/>
  <c r="O9" i="33"/>
  <c r="K58" i="32"/>
  <c r="K60" i="32" s="1"/>
  <c r="N69" i="32"/>
  <c r="H58" i="32"/>
  <c r="H60" i="32" s="1"/>
  <c r="G58" i="32"/>
  <c r="G60" i="32" s="1"/>
  <c r="E58" i="32"/>
  <c r="E60" i="32" s="1"/>
  <c r="C60" i="32"/>
  <c r="N71" i="32"/>
  <c r="N66" i="32"/>
  <c r="N70" i="32"/>
  <c r="N67" i="32"/>
  <c r="B58" i="32"/>
  <c r="B60" i="32" s="1"/>
  <c r="F58" i="32"/>
  <c r="F60" i="32" s="1"/>
  <c r="J58" i="32"/>
  <c r="J60" i="32" s="1"/>
  <c r="I58" i="32"/>
  <c r="I60" i="32" s="1"/>
  <c r="L56" i="32"/>
  <c r="L58" i="32" s="1"/>
  <c r="L66" i="32"/>
  <c r="N68" i="32"/>
  <c r="N5" i="32"/>
  <c r="N56" i="32" s="1"/>
  <c r="N17" i="32"/>
  <c r="N57" i="32" s="1"/>
  <c r="M56" i="32"/>
  <c r="M58" i="32" s="1"/>
  <c r="M60" i="32" s="1"/>
  <c r="M66" i="32"/>
  <c r="L52" i="32"/>
  <c r="N52" i="32" s="1"/>
  <c r="M26" i="31"/>
  <c r="M17" i="31"/>
  <c r="M16" i="31"/>
  <c r="O49" i="32" l="1"/>
  <c r="O38" i="32"/>
  <c r="O31" i="32"/>
  <c r="O33" i="32"/>
  <c r="O43" i="32"/>
  <c r="N58" i="32"/>
  <c r="O21" i="32"/>
  <c r="O9" i="32"/>
  <c r="O25" i="32"/>
  <c r="O19" i="32"/>
  <c r="O15" i="32"/>
  <c r="O7" i="32"/>
  <c r="O52" i="32"/>
  <c r="O12" i="32"/>
  <c r="O8" i="32"/>
  <c r="O11" i="32"/>
  <c r="O24" i="32"/>
  <c r="O22" i="32"/>
  <c r="O20" i="32"/>
  <c r="O18" i="32"/>
  <c r="O14" i="32"/>
  <c r="O10" i="32"/>
  <c r="O6" i="32"/>
  <c r="O23" i="32"/>
  <c r="O13" i="32"/>
  <c r="O28" i="32"/>
  <c r="L60" i="32"/>
  <c r="O39" i="32"/>
  <c r="O50" i="32"/>
  <c r="O34" i="32"/>
  <c r="O45" i="32"/>
  <c r="O29" i="32"/>
  <c r="O44" i="32"/>
  <c r="O47" i="32"/>
  <c r="O5" i="32"/>
  <c r="O32" i="32"/>
  <c r="O27" i="32"/>
  <c r="O46" i="32"/>
  <c r="O30" i="32"/>
  <c r="O41" i="32"/>
  <c r="O16" i="32"/>
  <c r="O40" i="32"/>
  <c r="O35" i="32"/>
  <c r="N65" i="32"/>
  <c r="O51" i="32"/>
  <c r="O48" i="32"/>
  <c r="O42" i="32"/>
  <c r="O26" i="32"/>
  <c r="O37" i="32"/>
  <c r="O4" i="32"/>
  <c r="O36" i="32"/>
  <c r="O17" i="32"/>
  <c r="L17" i="31"/>
  <c r="L16" i="31"/>
  <c r="L5" i="31"/>
  <c r="M71" i="31" l="1"/>
  <c r="L71" i="31"/>
  <c r="K71" i="31"/>
  <c r="J71" i="31"/>
  <c r="I71" i="31"/>
  <c r="H71" i="31"/>
  <c r="G71" i="31"/>
  <c r="F71" i="31"/>
  <c r="E71" i="31"/>
  <c r="D71" i="31"/>
  <c r="C71" i="31"/>
  <c r="B71" i="31"/>
  <c r="M70" i="31"/>
  <c r="L70" i="31"/>
  <c r="K70" i="31"/>
  <c r="J70" i="31"/>
  <c r="I70" i="31"/>
  <c r="H70" i="31"/>
  <c r="G70" i="31"/>
  <c r="F70" i="31"/>
  <c r="E70" i="31"/>
  <c r="D70" i="31"/>
  <c r="C70" i="31"/>
  <c r="B70" i="31"/>
  <c r="M69" i="31"/>
  <c r="L69" i="31"/>
  <c r="K69" i="31"/>
  <c r="J69" i="31"/>
  <c r="I69" i="31"/>
  <c r="H69" i="31"/>
  <c r="G69" i="31"/>
  <c r="F69" i="31"/>
  <c r="E69" i="31"/>
  <c r="D69" i="31"/>
  <c r="C69" i="31"/>
  <c r="B69" i="31"/>
  <c r="M68" i="31"/>
  <c r="L68" i="31"/>
  <c r="K68" i="31"/>
  <c r="J68" i="31"/>
  <c r="I68" i="31"/>
  <c r="H68" i="31"/>
  <c r="G68" i="31"/>
  <c r="F68" i="31"/>
  <c r="E68" i="31"/>
  <c r="D68" i="31"/>
  <c r="C68" i="31"/>
  <c r="B68" i="31"/>
  <c r="M67" i="31"/>
  <c r="L67" i="31"/>
  <c r="K67" i="31"/>
  <c r="J67" i="31"/>
  <c r="I67" i="31"/>
  <c r="H67" i="31"/>
  <c r="G67" i="31"/>
  <c r="F67" i="31"/>
  <c r="E67" i="31"/>
  <c r="D67" i="31"/>
  <c r="C67" i="31"/>
  <c r="B67" i="31"/>
  <c r="M66" i="31"/>
  <c r="L66" i="31"/>
  <c r="K66" i="31"/>
  <c r="J66" i="31"/>
  <c r="I66" i="31"/>
  <c r="H66" i="31"/>
  <c r="G66" i="31"/>
  <c r="F66" i="31"/>
  <c r="E66" i="31"/>
  <c r="D66" i="31"/>
  <c r="C66" i="31"/>
  <c r="B66" i="31"/>
  <c r="M65" i="31"/>
  <c r="L65" i="31"/>
  <c r="K65" i="31"/>
  <c r="J65" i="31"/>
  <c r="I65" i="31"/>
  <c r="H65" i="31"/>
  <c r="G65" i="31"/>
  <c r="E65" i="31"/>
  <c r="D65" i="31"/>
  <c r="C65" i="31"/>
  <c r="B65" i="31"/>
  <c r="M57" i="31"/>
  <c r="L57" i="31"/>
  <c r="K57" i="31"/>
  <c r="J57" i="31"/>
  <c r="I57" i="31"/>
  <c r="H57" i="31"/>
  <c r="G57" i="31"/>
  <c r="F57" i="31"/>
  <c r="E57" i="31"/>
  <c r="D57" i="31"/>
  <c r="C57" i="31"/>
  <c r="B57" i="31"/>
  <c r="M56" i="31"/>
  <c r="L56" i="31"/>
  <c r="K56" i="31"/>
  <c r="J56" i="31"/>
  <c r="I56" i="31"/>
  <c r="H56" i="31"/>
  <c r="H58" i="31" s="1"/>
  <c r="G56" i="31"/>
  <c r="E56" i="31"/>
  <c r="D56" i="31"/>
  <c r="C56" i="31"/>
  <c r="B56" i="31"/>
  <c r="M52" i="31"/>
  <c r="L52" i="31"/>
  <c r="K52" i="31"/>
  <c r="J52" i="31"/>
  <c r="I52" i="31"/>
  <c r="H52" i="31"/>
  <c r="G52" i="31"/>
  <c r="E52" i="31"/>
  <c r="D52" i="31"/>
  <c r="C52" i="31"/>
  <c r="B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N4" i="31"/>
  <c r="I58" i="31" l="1"/>
  <c r="I60" i="31" s="1"/>
  <c r="M58" i="31"/>
  <c r="M60" i="31" s="1"/>
  <c r="L58" i="31"/>
  <c r="L60" i="31" s="1"/>
  <c r="K58" i="31"/>
  <c r="J58" i="31"/>
  <c r="J60" i="31" s="1"/>
  <c r="N67" i="31"/>
  <c r="G58" i="31"/>
  <c r="G60" i="31" s="1"/>
  <c r="D58" i="31"/>
  <c r="D60" i="31" s="1"/>
  <c r="N69" i="31"/>
  <c r="C58" i="31"/>
  <c r="C60" i="31" s="1"/>
  <c r="B58" i="31"/>
  <c r="B60" i="31" s="1"/>
  <c r="N71" i="31"/>
  <c r="E58" i="31"/>
  <c r="E60" i="31" s="1"/>
  <c r="K60" i="31"/>
  <c r="H60" i="31"/>
  <c r="N56" i="31"/>
  <c r="N65" i="31"/>
  <c r="N68" i="31"/>
  <c r="F52" i="31"/>
  <c r="N52" i="31" s="1"/>
  <c r="F65" i="31"/>
  <c r="F56" i="31"/>
  <c r="F58" i="31" s="1"/>
  <c r="N66" i="31"/>
  <c r="N70" i="31"/>
  <c r="N57" i="31"/>
  <c r="F5" i="30"/>
  <c r="F4" i="30"/>
  <c r="F60" i="31" l="1"/>
  <c r="O52" i="31"/>
  <c r="O19" i="31"/>
  <c r="O11" i="31"/>
  <c r="O31" i="31"/>
  <c r="O20" i="31"/>
  <c r="O21" i="31"/>
  <c r="O42" i="31"/>
  <c r="O15" i="31"/>
  <c r="O35" i="31"/>
  <c r="O51" i="31"/>
  <c r="O24" i="31"/>
  <c r="O44" i="31"/>
  <c r="O9" i="31"/>
  <c r="O25" i="31"/>
  <c r="O41" i="31"/>
  <c r="O14" i="31"/>
  <c r="O30" i="31"/>
  <c r="O46" i="31"/>
  <c r="O10" i="31"/>
  <c r="O18" i="31"/>
  <c r="O50" i="31"/>
  <c r="O12" i="31"/>
  <c r="O32" i="31"/>
  <c r="O7" i="31"/>
  <c r="O27" i="31"/>
  <c r="O43" i="31"/>
  <c r="O16" i="31"/>
  <c r="O36" i="31"/>
  <c r="O49" i="31"/>
  <c r="O22" i="31"/>
  <c r="O5" i="31"/>
  <c r="O6" i="31"/>
  <c r="O4" i="31"/>
  <c r="O23" i="31"/>
  <c r="O39" i="31"/>
  <c r="O8" i="31"/>
  <c r="O28" i="31"/>
  <c r="O48" i="31"/>
  <c r="O13" i="31"/>
  <c r="O29" i="31"/>
  <c r="O45" i="31"/>
  <c r="O34" i="31"/>
  <c r="O17" i="31"/>
  <c r="O33" i="31"/>
  <c r="O38" i="31"/>
  <c r="O47" i="31"/>
  <c r="O40" i="31"/>
  <c r="O37" i="31"/>
  <c r="O26" i="31"/>
  <c r="N58" i="31"/>
  <c r="M73" i="30" l="1"/>
  <c r="L73" i="30"/>
  <c r="K73" i="30"/>
  <c r="J73" i="30"/>
  <c r="I73" i="30"/>
  <c r="H73" i="30"/>
  <c r="G73" i="30"/>
  <c r="F73" i="30"/>
  <c r="E73" i="30"/>
  <c r="D73" i="30"/>
  <c r="C73" i="30"/>
  <c r="B73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M70" i="30"/>
  <c r="L70" i="30"/>
  <c r="K70" i="30"/>
  <c r="J70" i="30"/>
  <c r="I70" i="30"/>
  <c r="H70" i="30"/>
  <c r="G70" i="30"/>
  <c r="F70" i="30"/>
  <c r="E70" i="30"/>
  <c r="D70" i="30"/>
  <c r="C70" i="30"/>
  <c r="B70" i="30"/>
  <c r="M69" i="30"/>
  <c r="L69" i="30"/>
  <c r="K69" i="30"/>
  <c r="J69" i="30"/>
  <c r="I69" i="30"/>
  <c r="H69" i="30"/>
  <c r="G69" i="30"/>
  <c r="F69" i="30"/>
  <c r="E69" i="30"/>
  <c r="D69" i="30"/>
  <c r="C69" i="30"/>
  <c r="B69" i="30"/>
  <c r="M68" i="30"/>
  <c r="L68" i="30"/>
  <c r="K68" i="30"/>
  <c r="J68" i="30"/>
  <c r="I68" i="30"/>
  <c r="H68" i="30"/>
  <c r="G68" i="30"/>
  <c r="F68" i="30"/>
  <c r="E68" i="30"/>
  <c r="D68" i="30"/>
  <c r="C68" i="30"/>
  <c r="B68" i="30"/>
  <c r="M67" i="30"/>
  <c r="L67" i="30"/>
  <c r="K67" i="30"/>
  <c r="J67" i="30"/>
  <c r="I67" i="30"/>
  <c r="H67" i="30"/>
  <c r="G67" i="30"/>
  <c r="E67" i="30"/>
  <c r="D67" i="30"/>
  <c r="C67" i="30"/>
  <c r="B67" i="30"/>
  <c r="L58" i="30"/>
  <c r="K58" i="30"/>
  <c r="J58" i="30"/>
  <c r="I58" i="30"/>
  <c r="H58" i="30"/>
  <c r="G58" i="30"/>
  <c r="F58" i="30"/>
  <c r="E58" i="30"/>
  <c r="D58" i="30"/>
  <c r="C58" i="30"/>
  <c r="B58" i="30"/>
  <c r="M57" i="30"/>
  <c r="L57" i="30"/>
  <c r="K57" i="30"/>
  <c r="K60" i="30" s="1"/>
  <c r="J57" i="30"/>
  <c r="I57" i="30"/>
  <c r="H57" i="30"/>
  <c r="G57" i="30"/>
  <c r="E57" i="30"/>
  <c r="D57" i="30"/>
  <c r="C57" i="30"/>
  <c r="B57" i="30"/>
  <c r="L53" i="30"/>
  <c r="K53" i="30"/>
  <c r="J53" i="30"/>
  <c r="I53" i="30"/>
  <c r="H53" i="30"/>
  <c r="G53" i="30"/>
  <c r="E53" i="30"/>
  <c r="D53" i="30"/>
  <c r="C53" i="30"/>
  <c r="B53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M53" i="30"/>
  <c r="N16" i="30"/>
  <c r="N15" i="30"/>
  <c r="N14" i="30"/>
  <c r="N13" i="30"/>
  <c r="N12" i="30"/>
  <c r="N11" i="30"/>
  <c r="N10" i="30"/>
  <c r="N9" i="30"/>
  <c r="N8" i="30"/>
  <c r="N7" i="30"/>
  <c r="N6" i="30"/>
  <c r="N5" i="30"/>
  <c r="F67" i="30"/>
  <c r="L60" i="30" l="1"/>
  <c r="J60" i="30"/>
  <c r="J62" i="30" s="1"/>
  <c r="I60" i="30"/>
  <c r="I62" i="30" s="1"/>
  <c r="H60" i="30"/>
  <c r="H62" i="30" s="1"/>
  <c r="G60" i="30"/>
  <c r="G62" i="30" s="1"/>
  <c r="E60" i="30"/>
  <c r="E62" i="30" s="1"/>
  <c r="N71" i="30"/>
  <c r="D60" i="30"/>
  <c r="D62" i="30" s="1"/>
  <c r="C60" i="30"/>
  <c r="C62" i="30" s="1"/>
  <c r="N69" i="30"/>
  <c r="N73" i="30"/>
  <c r="B60" i="30"/>
  <c r="B62" i="30" s="1"/>
  <c r="L62" i="30"/>
  <c r="N72" i="30"/>
  <c r="N68" i="30"/>
  <c r="K62" i="30"/>
  <c r="F53" i="30"/>
  <c r="F57" i="30"/>
  <c r="F60" i="30" s="1"/>
  <c r="M58" i="30"/>
  <c r="M60" i="30" s="1"/>
  <c r="M62" i="30" s="1"/>
  <c r="N70" i="30"/>
  <c r="N4" i="30"/>
  <c r="N53" i="30" s="1"/>
  <c r="O52" i="30" s="1"/>
  <c r="N58" i="30"/>
  <c r="M17" i="29"/>
  <c r="F62" i="30" l="1"/>
  <c r="O53" i="30"/>
  <c r="O51" i="30"/>
  <c r="O50" i="30"/>
  <c r="O49" i="30"/>
  <c r="O48" i="30"/>
  <c r="O47" i="30"/>
  <c r="O46" i="30"/>
  <c r="O45" i="30"/>
  <c r="O14" i="30"/>
  <c r="O12" i="30"/>
  <c r="O10" i="30"/>
  <c r="O8" i="30"/>
  <c r="O6" i="30"/>
  <c r="O5" i="30"/>
  <c r="O16" i="30"/>
  <c r="O15" i="30"/>
  <c r="O13" i="30"/>
  <c r="O11" i="30"/>
  <c r="O9" i="30"/>
  <c r="O7" i="30"/>
  <c r="O17" i="30"/>
  <c r="O23" i="30"/>
  <c r="O27" i="30"/>
  <c r="O31" i="30"/>
  <c r="O35" i="30"/>
  <c r="O39" i="30"/>
  <c r="O43" i="30"/>
  <c r="O20" i="30"/>
  <c r="O24" i="30"/>
  <c r="O28" i="30"/>
  <c r="O32" i="30"/>
  <c r="O36" i="30"/>
  <c r="O40" i="30"/>
  <c r="O44" i="30"/>
  <c r="O19" i="30"/>
  <c r="O21" i="30"/>
  <c r="O25" i="30"/>
  <c r="O29" i="30"/>
  <c r="O33" i="30"/>
  <c r="O37" i="30"/>
  <c r="O41" i="30"/>
  <c r="O18" i="30"/>
  <c r="O22" i="30"/>
  <c r="O26" i="30"/>
  <c r="O30" i="30"/>
  <c r="O34" i="30"/>
  <c r="O38" i="30"/>
  <c r="O42" i="30"/>
  <c r="N67" i="30"/>
  <c r="N74" i="30" s="1"/>
  <c r="N57" i="30"/>
  <c r="N60" i="30" s="1"/>
  <c r="O4" i="30"/>
  <c r="B65" i="29"/>
  <c r="C65" i="29"/>
  <c r="D65" i="29"/>
  <c r="E65" i="29"/>
  <c r="G65" i="29"/>
  <c r="H65" i="29"/>
  <c r="B66" i="29"/>
  <c r="C66" i="29"/>
  <c r="D66" i="29"/>
  <c r="E66" i="29"/>
  <c r="F66" i="29"/>
  <c r="G66" i="29"/>
  <c r="H66" i="29"/>
  <c r="B67" i="29"/>
  <c r="C67" i="29"/>
  <c r="D67" i="29"/>
  <c r="E67" i="29"/>
  <c r="F67" i="29"/>
  <c r="G67" i="29"/>
  <c r="H67" i="29"/>
  <c r="B68" i="29"/>
  <c r="C68" i="29"/>
  <c r="D68" i="29"/>
  <c r="E68" i="29"/>
  <c r="F68" i="29"/>
  <c r="G68" i="29"/>
  <c r="H68" i="29"/>
  <c r="B69" i="29"/>
  <c r="C69" i="29"/>
  <c r="D69" i="29"/>
  <c r="E69" i="29"/>
  <c r="F69" i="29"/>
  <c r="G69" i="29"/>
  <c r="H69" i="29"/>
  <c r="B70" i="29"/>
  <c r="C70" i="29"/>
  <c r="D70" i="29"/>
  <c r="E70" i="29"/>
  <c r="F70" i="29"/>
  <c r="G70" i="29"/>
  <c r="H70" i="29"/>
  <c r="B71" i="29"/>
  <c r="C71" i="29"/>
  <c r="D71" i="29"/>
  <c r="E71" i="29"/>
  <c r="F71" i="29"/>
  <c r="G71" i="29"/>
  <c r="H71" i="29"/>
  <c r="J56" i="29"/>
  <c r="K56" i="29"/>
  <c r="L56" i="29"/>
  <c r="M56" i="29"/>
  <c r="J68" i="29"/>
  <c r="K68" i="29"/>
  <c r="L68" i="29"/>
  <c r="M68" i="29"/>
  <c r="I68" i="29"/>
  <c r="I56" i="29"/>
  <c r="N18" i="29"/>
  <c r="F4" i="29" l="1"/>
  <c r="F65" i="29" s="1"/>
  <c r="M71" i="29" l="1"/>
  <c r="L71" i="29"/>
  <c r="K71" i="29"/>
  <c r="J71" i="29"/>
  <c r="I71" i="29"/>
  <c r="M70" i="29"/>
  <c r="L70" i="29"/>
  <c r="K70" i="29"/>
  <c r="J70" i="29"/>
  <c r="I70" i="29"/>
  <c r="M69" i="29"/>
  <c r="L69" i="29"/>
  <c r="K69" i="29"/>
  <c r="J69" i="29"/>
  <c r="I69" i="29"/>
  <c r="M67" i="29"/>
  <c r="L67" i="29"/>
  <c r="K67" i="29"/>
  <c r="J67" i="29"/>
  <c r="I67" i="29"/>
  <c r="M66" i="29"/>
  <c r="L66" i="29"/>
  <c r="K66" i="29"/>
  <c r="J66" i="29"/>
  <c r="I66" i="29"/>
  <c r="M65" i="29"/>
  <c r="L65" i="29"/>
  <c r="K65" i="29"/>
  <c r="J65" i="29"/>
  <c r="I65" i="29"/>
  <c r="M57" i="29"/>
  <c r="M58" i="29" s="1"/>
  <c r="L57" i="29"/>
  <c r="L58" i="29" s="1"/>
  <c r="K57" i="29"/>
  <c r="J57" i="29"/>
  <c r="I57" i="29"/>
  <c r="H57" i="29"/>
  <c r="G57" i="29"/>
  <c r="F57" i="29"/>
  <c r="E57" i="29"/>
  <c r="D57" i="29"/>
  <c r="C57" i="29"/>
  <c r="B57" i="29"/>
  <c r="K58" i="29"/>
  <c r="J58" i="29"/>
  <c r="H56" i="29"/>
  <c r="G56" i="29"/>
  <c r="F56" i="29"/>
  <c r="F58" i="29" s="1"/>
  <c r="E56" i="29"/>
  <c r="D56" i="29"/>
  <c r="C56" i="29"/>
  <c r="B56" i="29"/>
  <c r="B58" i="29" s="1"/>
  <c r="M52" i="29"/>
  <c r="L52" i="29"/>
  <c r="K52" i="29"/>
  <c r="J52" i="29"/>
  <c r="I52" i="29"/>
  <c r="H52" i="29"/>
  <c r="G52" i="29"/>
  <c r="F52" i="29"/>
  <c r="E52" i="29"/>
  <c r="D52" i="29"/>
  <c r="C52" i="29"/>
  <c r="B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7" i="29"/>
  <c r="N16" i="29"/>
  <c r="N15" i="29"/>
  <c r="N14" i="29"/>
  <c r="N13" i="29"/>
  <c r="N12" i="29"/>
  <c r="N11" i="29"/>
  <c r="N10" i="29"/>
  <c r="N9" i="29"/>
  <c r="N8" i="29"/>
  <c r="N7" i="29"/>
  <c r="N6" i="29"/>
  <c r="N5" i="29"/>
  <c r="N4" i="29"/>
  <c r="D58" i="29" l="1"/>
  <c r="N57" i="29"/>
  <c r="N56" i="29"/>
  <c r="I58" i="29"/>
  <c r="I60" i="29" s="1"/>
  <c r="H58" i="29"/>
  <c r="G58" i="29"/>
  <c r="G60" i="29" s="1"/>
  <c r="E58" i="29"/>
  <c r="E60" i="29" s="1"/>
  <c r="N69" i="29"/>
  <c r="C58" i="29"/>
  <c r="N52" i="29"/>
  <c r="B60" i="29"/>
  <c r="D60" i="29"/>
  <c r="F60" i="29"/>
  <c r="H60" i="29"/>
  <c r="J60" i="29"/>
  <c r="L60" i="29"/>
  <c r="N65" i="29"/>
  <c r="N71" i="29"/>
  <c r="N67" i="29"/>
  <c r="C60" i="29"/>
  <c r="K60" i="29"/>
  <c r="M60" i="29"/>
  <c r="N66" i="29"/>
  <c r="N68" i="29"/>
  <c r="N70" i="29"/>
  <c r="F55" i="28"/>
  <c r="G55" i="28"/>
  <c r="H55" i="28"/>
  <c r="I55" i="28"/>
  <c r="J55" i="28"/>
  <c r="K55" i="28"/>
  <c r="L55" i="28"/>
  <c r="M55" i="28"/>
  <c r="B55" i="28"/>
  <c r="C55" i="28"/>
  <c r="D55" i="28"/>
  <c r="F64" i="28"/>
  <c r="G64" i="28"/>
  <c r="H64" i="28"/>
  <c r="I64" i="28"/>
  <c r="J64" i="28"/>
  <c r="K64" i="28"/>
  <c r="L64" i="28"/>
  <c r="M64" i="28"/>
  <c r="B64" i="28"/>
  <c r="C64" i="28"/>
  <c r="D64" i="28"/>
  <c r="E64" i="28"/>
  <c r="E55" i="28"/>
  <c r="N5" i="28"/>
  <c r="N6" i="28"/>
  <c r="O52" i="29" l="1"/>
  <c r="O5" i="29"/>
  <c r="O6" i="29"/>
  <c r="O18" i="29"/>
  <c r="O4" i="29"/>
  <c r="O19" i="29"/>
  <c r="O12" i="29"/>
  <c r="O10" i="29"/>
  <c r="O49" i="29"/>
  <c r="O41" i="29"/>
  <c r="O51" i="29"/>
  <c r="O45" i="29"/>
  <c r="O33" i="29"/>
  <c r="O47" i="29"/>
  <c r="O43" i="29"/>
  <c r="O37" i="29"/>
  <c r="O29" i="29"/>
  <c r="O39" i="29"/>
  <c r="O35" i="29"/>
  <c r="O31" i="29"/>
  <c r="O27" i="29"/>
  <c r="O25" i="29"/>
  <c r="O23" i="29"/>
  <c r="O21" i="29"/>
  <c r="O16" i="29"/>
  <c r="O14" i="29"/>
  <c r="O50" i="29"/>
  <c r="O46" i="29"/>
  <c r="O42" i="29"/>
  <c r="O8" i="29"/>
  <c r="O48" i="29"/>
  <c r="O44" i="29"/>
  <c r="O40" i="29"/>
  <c r="O34" i="29"/>
  <c r="O26" i="29"/>
  <c r="O38" i="29"/>
  <c r="O30" i="29"/>
  <c r="O17" i="29"/>
  <c r="O36" i="29"/>
  <c r="O32" i="29"/>
  <c r="O28" i="29"/>
  <c r="O22" i="29"/>
  <c r="O13" i="29"/>
  <c r="O9" i="29"/>
  <c r="O24" i="29"/>
  <c r="O20" i="29"/>
  <c r="O15" i="29"/>
  <c r="O11" i="29"/>
  <c r="O7" i="29"/>
  <c r="N58" i="29"/>
  <c r="C65" i="28"/>
  <c r="D65" i="28"/>
  <c r="E65" i="28"/>
  <c r="F65" i="28"/>
  <c r="G65" i="28"/>
  <c r="H65" i="28"/>
  <c r="I65" i="28"/>
  <c r="J65" i="28"/>
  <c r="K65" i="28"/>
  <c r="L65" i="28"/>
  <c r="M65" i="28"/>
  <c r="C66" i="28"/>
  <c r="D66" i="28"/>
  <c r="E66" i="28"/>
  <c r="F66" i="28"/>
  <c r="G66" i="28"/>
  <c r="H66" i="28"/>
  <c r="I66" i="28"/>
  <c r="J66" i="28"/>
  <c r="K66" i="28"/>
  <c r="L66" i="28"/>
  <c r="M66" i="28"/>
  <c r="C67" i="28"/>
  <c r="D67" i="28"/>
  <c r="E67" i="28"/>
  <c r="F67" i="28"/>
  <c r="G67" i="28"/>
  <c r="H67" i="28"/>
  <c r="I67" i="28"/>
  <c r="J67" i="28"/>
  <c r="K67" i="28"/>
  <c r="L67" i="28"/>
  <c r="M67" i="28"/>
  <c r="C68" i="28"/>
  <c r="D68" i="28"/>
  <c r="E68" i="28"/>
  <c r="F68" i="28"/>
  <c r="G68" i="28"/>
  <c r="H68" i="28"/>
  <c r="I68" i="28"/>
  <c r="J68" i="28"/>
  <c r="K68" i="28"/>
  <c r="L68" i="28"/>
  <c r="M68" i="28"/>
  <c r="C69" i="28"/>
  <c r="D69" i="28"/>
  <c r="E69" i="28"/>
  <c r="F69" i="28"/>
  <c r="G69" i="28"/>
  <c r="H69" i="28"/>
  <c r="I69" i="28"/>
  <c r="J69" i="28"/>
  <c r="K69" i="28"/>
  <c r="L69" i="28"/>
  <c r="M69" i="28"/>
  <c r="C70" i="28"/>
  <c r="D70" i="28"/>
  <c r="E70" i="28"/>
  <c r="F70" i="28"/>
  <c r="G70" i="28"/>
  <c r="H70" i="28"/>
  <c r="I70" i="28"/>
  <c r="J70" i="28"/>
  <c r="K70" i="28"/>
  <c r="L70" i="28"/>
  <c r="M70" i="28"/>
  <c r="B70" i="28"/>
  <c r="B69" i="28"/>
  <c r="B68" i="28"/>
  <c r="B67" i="28"/>
  <c r="B66" i="28"/>
  <c r="B65" i="28"/>
  <c r="C56" i="28"/>
  <c r="D56" i="28"/>
  <c r="E56" i="28"/>
  <c r="F56" i="28"/>
  <c r="F57" i="28" s="1"/>
  <c r="G56" i="28"/>
  <c r="G57" i="28" s="1"/>
  <c r="H56" i="28"/>
  <c r="H57" i="28" s="1"/>
  <c r="I56" i="28"/>
  <c r="J56" i="28"/>
  <c r="J57" i="28" s="1"/>
  <c r="J59" i="28" s="1"/>
  <c r="K56" i="28"/>
  <c r="K57" i="28" s="1"/>
  <c r="L56" i="28"/>
  <c r="M56" i="28"/>
  <c r="B56" i="28"/>
  <c r="B57" i="28" s="1"/>
  <c r="B59" i="28" s="1"/>
  <c r="M57" i="28"/>
  <c r="L57" i="28"/>
  <c r="L59" i="28" s="1"/>
  <c r="I57" i="28"/>
  <c r="M51" i="28"/>
  <c r="L51" i="28"/>
  <c r="K51" i="28"/>
  <c r="J51" i="28"/>
  <c r="I51" i="28"/>
  <c r="I59" i="28" s="1"/>
  <c r="H51" i="28"/>
  <c r="F51" i="28"/>
  <c r="E51" i="28"/>
  <c r="D51" i="28"/>
  <c r="C51" i="28"/>
  <c r="B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7" i="28"/>
  <c r="N4" i="28"/>
  <c r="H69" i="27"/>
  <c r="I69" i="27"/>
  <c r="J69" i="27"/>
  <c r="K69" i="27"/>
  <c r="L69" i="27"/>
  <c r="M69" i="27"/>
  <c r="H70" i="27"/>
  <c r="I70" i="27"/>
  <c r="J70" i="27"/>
  <c r="K70" i="27"/>
  <c r="L70" i="27"/>
  <c r="M70" i="27"/>
  <c r="H71" i="27"/>
  <c r="I71" i="27"/>
  <c r="J71" i="27"/>
  <c r="K71" i="27"/>
  <c r="L71" i="27"/>
  <c r="M71" i="27"/>
  <c r="H72" i="27"/>
  <c r="I72" i="27"/>
  <c r="J72" i="27"/>
  <c r="K72" i="27"/>
  <c r="L72" i="27"/>
  <c r="M72" i="27"/>
  <c r="H73" i="27"/>
  <c r="I73" i="27"/>
  <c r="J73" i="27"/>
  <c r="K73" i="27"/>
  <c r="L73" i="27"/>
  <c r="M73" i="27"/>
  <c r="H74" i="27"/>
  <c r="I74" i="27"/>
  <c r="J74" i="27"/>
  <c r="K74" i="27"/>
  <c r="L74" i="27"/>
  <c r="M74" i="27"/>
  <c r="H75" i="27"/>
  <c r="I75" i="27"/>
  <c r="J75" i="27"/>
  <c r="K75" i="27"/>
  <c r="L75" i="27"/>
  <c r="M75" i="27"/>
  <c r="B60" i="27"/>
  <c r="C60" i="27"/>
  <c r="D60" i="27"/>
  <c r="D62" i="27" s="1"/>
  <c r="D64" i="27" s="1"/>
  <c r="E60" i="27"/>
  <c r="F60" i="27"/>
  <c r="H60" i="27"/>
  <c r="I60" i="27"/>
  <c r="J60" i="27"/>
  <c r="K60" i="27"/>
  <c r="L60" i="27"/>
  <c r="M60" i="27"/>
  <c r="B61" i="27"/>
  <c r="C61" i="27"/>
  <c r="D61" i="27"/>
  <c r="E61" i="27"/>
  <c r="F61" i="27"/>
  <c r="H61" i="27"/>
  <c r="H62" i="27" s="1"/>
  <c r="H64" i="27" s="1"/>
  <c r="I61" i="27"/>
  <c r="I62" i="27" s="1"/>
  <c r="I64" i="27" s="1"/>
  <c r="J61" i="27"/>
  <c r="J62" i="27" s="1"/>
  <c r="J64" i="27" s="1"/>
  <c r="K61" i="27"/>
  <c r="K62" i="27" s="1"/>
  <c r="L61" i="27"/>
  <c r="M61" i="27"/>
  <c r="N5" i="27"/>
  <c r="N6" i="27"/>
  <c r="N7" i="27"/>
  <c r="N8" i="27"/>
  <c r="N10" i="27"/>
  <c r="N11" i="27"/>
  <c r="N12" i="27"/>
  <c r="N13" i="27"/>
  <c r="N14" i="27"/>
  <c r="N15" i="27"/>
  <c r="G33" i="27"/>
  <c r="G61" i="27" s="1"/>
  <c r="G9" i="27"/>
  <c r="G69" i="27" s="1"/>
  <c r="G75" i="27"/>
  <c r="F75" i="27"/>
  <c r="E75" i="27"/>
  <c r="D75" i="27"/>
  <c r="C75" i="27"/>
  <c r="B75" i="27"/>
  <c r="G74" i="27"/>
  <c r="F74" i="27"/>
  <c r="E74" i="27"/>
  <c r="D74" i="27"/>
  <c r="C74" i="27"/>
  <c r="B74" i="27"/>
  <c r="F73" i="27"/>
  <c r="E73" i="27"/>
  <c r="D73" i="27"/>
  <c r="C73" i="27"/>
  <c r="B73" i="27"/>
  <c r="G72" i="27"/>
  <c r="F72" i="27"/>
  <c r="E72" i="27"/>
  <c r="D72" i="27"/>
  <c r="C72" i="27"/>
  <c r="B72" i="27"/>
  <c r="G71" i="27"/>
  <c r="F71" i="27"/>
  <c r="E71" i="27"/>
  <c r="D71" i="27"/>
  <c r="C71" i="27"/>
  <c r="B71" i="27"/>
  <c r="G70" i="27"/>
  <c r="F70" i="27"/>
  <c r="E70" i="27"/>
  <c r="D70" i="27"/>
  <c r="N70" i="27" s="1"/>
  <c r="C70" i="27"/>
  <c r="B70" i="27"/>
  <c r="F69" i="27"/>
  <c r="E69" i="27"/>
  <c r="D69" i="27"/>
  <c r="C69" i="27"/>
  <c r="B69" i="27"/>
  <c r="N69" i="27" s="1"/>
  <c r="E62" i="27"/>
  <c r="E64" i="27" s="1"/>
  <c r="M56" i="27"/>
  <c r="L56" i="27"/>
  <c r="J56" i="27"/>
  <c r="I56" i="27"/>
  <c r="H56" i="27"/>
  <c r="G56" i="27"/>
  <c r="F56" i="27"/>
  <c r="E56" i="27"/>
  <c r="D56" i="27"/>
  <c r="C56" i="27"/>
  <c r="B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4" i="27"/>
  <c r="K17" i="25"/>
  <c r="N17" i="25" s="1"/>
  <c r="N39" i="22"/>
  <c r="H64" i="22"/>
  <c r="H66" i="22" s="1"/>
  <c r="H68" i="22" s="1"/>
  <c r="C50" i="19"/>
  <c r="D50" i="19"/>
  <c r="E50" i="19"/>
  <c r="F50" i="19"/>
  <c r="G50" i="19"/>
  <c r="H50" i="19"/>
  <c r="I50" i="19"/>
  <c r="J50" i="19"/>
  <c r="K50" i="19"/>
  <c r="L50" i="19"/>
  <c r="M50" i="19"/>
  <c r="C51" i="19"/>
  <c r="D51" i="19"/>
  <c r="E51" i="19"/>
  <c r="F51" i="19"/>
  <c r="G51" i="19"/>
  <c r="H51" i="19"/>
  <c r="I51" i="19"/>
  <c r="J51" i="19"/>
  <c r="K51" i="19"/>
  <c r="L51" i="19"/>
  <c r="M51" i="19"/>
  <c r="C52" i="19"/>
  <c r="D52" i="19"/>
  <c r="E52" i="19"/>
  <c r="F52" i="19"/>
  <c r="G52" i="19"/>
  <c r="H52" i="19"/>
  <c r="I52" i="19"/>
  <c r="J52" i="19"/>
  <c r="K52" i="19"/>
  <c r="L52" i="19"/>
  <c r="M52" i="19"/>
  <c r="C53" i="19"/>
  <c r="D53" i="19"/>
  <c r="E53" i="19"/>
  <c r="F53" i="19"/>
  <c r="G53" i="19"/>
  <c r="N53" i="19" s="1"/>
  <c r="H53" i="19"/>
  <c r="I53" i="19"/>
  <c r="J53" i="19"/>
  <c r="K53" i="19"/>
  <c r="L53" i="19"/>
  <c r="M53" i="19"/>
  <c r="C54" i="19"/>
  <c r="D54" i="19"/>
  <c r="E54" i="19"/>
  <c r="F54" i="19"/>
  <c r="G54" i="19"/>
  <c r="H54" i="19"/>
  <c r="I54" i="19"/>
  <c r="J54" i="19"/>
  <c r="K54" i="19"/>
  <c r="L54" i="19"/>
  <c r="M54" i="19"/>
  <c r="C55" i="19"/>
  <c r="D55" i="19"/>
  <c r="E55" i="19"/>
  <c r="F55" i="19"/>
  <c r="G55" i="19"/>
  <c r="H55" i="19"/>
  <c r="I55" i="19"/>
  <c r="J55" i="19"/>
  <c r="K55" i="19"/>
  <c r="L55" i="19"/>
  <c r="M55" i="19"/>
  <c r="C56" i="19"/>
  <c r="D56" i="19"/>
  <c r="E56" i="19"/>
  <c r="F56" i="19"/>
  <c r="G56" i="19"/>
  <c r="H56" i="19"/>
  <c r="I56" i="19"/>
  <c r="J56" i="19"/>
  <c r="K56" i="19"/>
  <c r="L56" i="19"/>
  <c r="M56" i="19"/>
  <c r="B56" i="19"/>
  <c r="B55" i="19"/>
  <c r="B54" i="19"/>
  <c r="B53" i="19"/>
  <c r="B52" i="19"/>
  <c r="B51" i="19"/>
  <c r="B50" i="19"/>
  <c r="C55" i="20"/>
  <c r="D55" i="20"/>
  <c r="E55" i="20"/>
  <c r="F55" i="20"/>
  <c r="G55" i="20"/>
  <c r="H55" i="20"/>
  <c r="I55" i="20"/>
  <c r="J55" i="20"/>
  <c r="K55" i="20"/>
  <c r="L55" i="20"/>
  <c r="M55" i="20"/>
  <c r="C56" i="20"/>
  <c r="D56" i="20"/>
  <c r="E56" i="20"/>
  <c r="F56" i="20"/>
  <c r="G56" i="20"/>
  <c r="H56" i="20"/>
  <c r="I56" i="20"/>
  <c r="J56" i="20"/>
  <c r="K56" i="20"/>
  <c r="L56" i="20"/>
  <c r="M56" i="20"/>
  <c r="C57" i="20"/>
  <c r="D57" i="20"/>
  <c r="E57" i="20"/>
  <c r="F57" i="20"/>
  <c r="G57" i="20"/>
  <c r="H57" i="20"/>
  <c r="I57" i="20"/>
  <c r="J57" i="20"/>
  <c r="K57" i="20"/>
  <c r="L57" i="20"/>
  <c r="M57" i="20"/>
  <c r="C58" i="20"/>
  <c r="D58" i="20"/>
  <c r="E58" i="20"/>
  <c r="F58" i="20"/>
  <c r="G58" i="20"/>
  <c r="H58" i="20"/>
  <c r="I58" i="20"/>
  <c r="J58" i="20"/>
  <c r="K58" i="20"/>
  <c r="L58" i="20"/>
  <c r="M58" i="20"/>
  <c r="C59" i="20"/>
  <c r="D59" i="20"/>
  <c r="E59" i="20"/>
  <c r="F59" i="20"/>
  <c r="G59" i="20"/>
  <c r="H59" i="20"/>
  <c r="I59" i="20"/>
  <c r="J59" i="20"/>
  <c r="K59" i="20"/>
  <c r="L59" i="20"/>
  <c r="M59" i="20"/>
  <c r="C60" i="20"/>
  <c r="D60" i="20"/>
  <c r="E60" i="20"/>
  <c r="F60" i="20"/>
  <c r="G60" i="20"/>
  <c r="H60" i="20"/>
  <c r="I60" i="20"/>
  <c r="J60" i="20"/>
  <c r="K60" i="20"/>
  <c r="L60" i="20"/>
  <c r="M60" i="20"/>
  <c r="C61" i="20"/>
  <c r="D61" i="20"/>
  <c r="E61" i="20"/>
  <c r="F61" i="20"/>
  <c r="G61" i="20"/>
  <c r="H61" i="20"/>
  <c r="I61" i="20"/>
  <c r="J61" i="20"/>
  <c r="K61" i="20"/>
  <c r="L61" i="20"/>
  <c r="M61" i="20"/>
  <c r="B61" i="20"/>
  <c r="B60" i="20"/>
  <c r="B59" i="20"/>
  <c r="B58" i="20"/>
  <c r="B57" i="20"/>
  <c r="N57" i="20" s="1"/>
  <c r="B56" i="20"/>
  <c r="N56" i="20" s="1"/>
  <c r="B55" i="20"/>
  <c r="C60" i="21"/>
  <c r="D60" i="21"/>
  <c r="E60" i="21"/>
  <c r="F60" i="21"/>
  <c r="G60" i="21"/>
  <c r="H60" i="21"/>
  <c r="I60" i="21"/>
  <c r="J60" i="21"/>
  <c r="K60" i="21"/>
  <c r="L60" i="21"/>
  <c r="M60" i="21"/>
  <c r="C61" i="21"/>
  <c r="D61" i="21"/>
  <c r="E61" i="21"/>
  <c r="F61" i="21"/>
  <c r="G61" i="21"/>
  <c r="H61" i="21"/>
  <c r="I61" i="21"/>
  <c r="J61" i="21"/>
  <c r="K61" i="21"/>
  <c r="L61" i="21"/>
  <c r="M61" i="21"/>
  <c r="C62" i="21"/>
  <c r="D62" i="21"/>
  <c r="E62" i="21"/>
  <c r="F62" i="21"/>
  <c r="G62" i="21"/>
  <c r="H62" i="21"/>
  <c r="I62" i="21"/>
  <c r="J62" i="21"/>
  <c r="K62" i="21"/>
  <c r="L62" i="21"/>
  <c r="M62" i="21"/>
  <c r="C63" i="21"/>
  <c r="D63" i="21"/>
  <c r="E63" i="21"/>
  <c r="F63" i="21"/>
  <c r="G63" i="21"/>
  <c r="H63" i="21"/>
  <c r="I63" i="21"/>
  <c r="J63" i="21"/>
  <c r="K63" i="21"/>
  <c r="L63" i="21"/>
  <c r="M63" i="21"/>
  <c r="C64" i="21"/>
  <c r="D64" i="21"/>
  <c r="E64" i="21"/>
  <c r="F64" i="21"/>
  <c r="G64" i="21"/>
  <c r="H64" i="21"/>
  <c r="I64" i="21"/>
  <c r="J64" i="21"/>
  <c r="K64" i="21"/>
  <c r="L64" i="21"/>
  <c r="M64" i="21"/>
  <c r="C65" i="21"/>
  <c r="D65" i="21"/>
  <c r="E65" i="21"/>
  <c r="F65" i="21"/>
  <c r="G65" i="21"/>
  <c r="H65" i="21"/>
  <c r="I65" i="21"/>
  <c r="J65" i="21"/>
  <c r="K65" i="21"/>
  <c r="L65" i="21"/>
  <c r="M65" i="21"/>
  <c r="C66" i="21"/>
  <c r="D66" i="21"/>
  <c r="E66" i="21"/>
  <c r="F66" i="21"/>
  <c r="G66" i="21"/>
  <c r="H66" i="21"/>
  <c r="I66" i="21"/>
  <c r="J66" i="21"/>
  <c r="K66" i="21"/>
  <c r="L66" i="21"/>
  <c r="M66" i="21"/>
  <c r="B66" i="21"/>
  <c r="B65" i="21"/>
  <c r="B64" i="21"/>
  <c r="B63" i="21"/>
  <c r="B62" i="21"/>
  <c r="B61" i="21"/>
  <c r="B60" i="21"/>
  <c r="C75" i="22"/>
  <c r="D75" i="22"/>
  <c r="E75" i="22"/>
  <c r="F75" i="22"/>
  <c r="G75" i="22"/>
  <c r="H75" i="22"/>
  <c r="I75" i="22"/>
  <c r="J75" i="22"/>
  <c r="K75" i="22"/>
  <c r="L75" i="22"/>
  <c r="M75" i="22"/>
  <c r="C76" i="22"/>
  <c r="D76" i="22"/>
  <c r="E76" i="22"/>
  <c r="F76" i="22"/>
  <c r="G76" i="22"/>
  <c r="H76" i="22"/>
  <c r="I76" i="22"/>
  <c r="J76" i="22"/>
  <c r="K76" i="22"/>
  <c r="L76" i="22"/>
  <c r="M76" i="22"/>
  <c r="C77" i="22"/>
  <c r="D77" i="22"/>
  <c r="E77" i="22"/>
  <c r="F77" i="22"/>
  <c r="G77" i="22"/>
  <c r="H77" i="22"/>
  <c r="I77" i="22"/>
  <c r="J77" i="22"/>
  <c r="K77" i="22"/>
  <c r="L77" i="22"/>
  <c r="M77" i="22"/>
  <c r="C78" i="22"/>
  <c r="D78" i="22"/>
  <c r="E78" i="22"/>
  <c r="F78" i="22"/>
  <c r="G78" i="22"/>
  <c r="H78" i="22"/>
  <c r="I78" i="22"/>
  <c r="J78" i="22"/>
  <c r="K78" i="22"/>
  <c r="L78" i="22"/>
  <c r="M78" i="22"/>
  <c r="C79" i="22"/>
  <c r="D79" i="22"/>
  <c r="E79" i="22"/>
  <c r="F79" i="22"/>
  <c r="G79" i="22"/>
  <c r="H79" i="22"/>
  <c r="I79" i="22"/>
  <c r="J79" i="22"/>
  <c r="K79" i="22"/>
  <c r="L79" i="22"/>
  <c r="M79" i="22"/>
  <c r="C80" i="22"/>
  <c r="D80" i="22"/>
  <c r="E80" i="22"/>
  <c r="F80" i="22"/>
  <c r="G80" i="22"/>
  <c r="H80" i="22"/>
  <c r="I80" i="22"/>
  <c r="J80" i="22"/>
  <c r="K80" i="22"/>
  <c r="L80" i="22"/>
  <c r="M80" i="22"/>
  <c r="C81" i="22"/>
  <c r="D81" i="22"/>
  <c r="E81" i="22"/>
  <c r="F81" i="22"/>
  <c r="G81" i="22"/>
  <c r="H81" i="22"/>
  <c r="I81" i="22"/>
  <c r="J81" i="22"/>
  <c r="K81" i="22"/>
  <c r="L81" i="22"/>
  <c r="M81" i="22"/>
  <c r="B81" i="22"/>
  <c r="B80" i="22"/>
  <c r="B79" i="22"/>
  <c r="B78" i="22"/>
  <c r="N78" i="22" s="1"/>
  <c r="B77" i="22"/>
  <c r="B76" i="22"/>
  <c r="B75" i="22"/>
  <c r="C65" i="23"/>
  <c r="D65" i="23"/>
  <c r="E65" i="23"/>
  <c r="F65" i="23"/>
  <c r="G65" i="23"/>
  <c r="H65" i="23"/>
  <c r="I65" i="23"/>
  <c r="J65" i="23"/>
  <c r="K65" i="23"/>
  <c r="L65" i="23"/>
  <c r="M65" i="23"/>
  <c r="C66" i="23"/>
  <c r="D66" i="23"/>
  <c r="E66" i="23"/>
  <c r="F66" i="23"/>
  <c r="G66" i="23"/>
  <c r="H66" i="23"/>
  <c r="I66" i="23"/>
  <c r="J66" i="23"/>
  <c r="K66" i="23"/>
  <c r="L66" i="23"/>
  <c r="M66" i="23"/>
  <c r="C67" i="23"/>
  <c r="D67" i="23"/>
  <c r="E67" i="23"/>
  <c r="F67" i="23"/>
  <c r="G67" i="23"/>
  <c r="H67" i="23"/>
  <c r="I67" i="23"/>
  <c r="J67" i="23"/>
  <c r="K67" i="23"/>
  <c r="L67" i="23"/>
  <c r="M67" i="23"/>
  <c r="C68" i="23"/>
  <c r="D68" i="23"/>
  <c r="E68" i="23"/>
  <c r="F68" i="23"/>
  <c r="G68" i="23"/>
  <c r="H68" i="23"/>
  <c r="I68" i="23"/>
  <c r="J68" i="23"/>
  <c r="K68" i="23"/>
  <c r="L68" i="23"/>
  <c r="M68" i="23"/>
  <c r="C69" i="23"/>
  <c r="D69" i="23"/>
  <c r="E69" i="23"/>
  <c r="F69" i="23"/>
  <c r="G69" i="23"/>
  <c r="H69" i="23"/>
  <c r="I69" i="23"/>
  <c r="J69" i="23"/>
  <c r="K69" i="23"/>
  <c r="L69" i="23"/>
  <c r="M69" i="23"/>
  <c r="C70" i="23"/>
  <c r="D70" i="23"/>
  <c r="E70" i="23"/>
  <c r="F70" i="23"/>
  <c r="G70" i="23"/>
  <c r="H70" i="23"/>
  <c r="I70" i="23"/>
  <c r="J70" i="23"/>
  <c r="K70" i="23"/>
  <c r="L70" i="23"/>
  <c r="M70" i="23"/>
  <c r="C71" i="23"/>
  <c r="D71" i="23"/>
  <c r="E71" i="23"/>
  <c r="F71" i="23"/>
  <c r="G71" i="23"/>
  <c r="H71" i="23"/>
  <c r="I71" i="23"/>
  <c r="J71" i="23"/>
  <c r="K71" i="23"/>
  <c r="L71" i="23"/>
  <c r="M71" i="23"/>
  <c r="B71" i="23"/>
  <c r="B70" i="23"/>
  <c r="B69" i="23"/>
  <c r="B68" i="23"/>
  <c r="B67" i="23"/>
  <c r="B66" i="23"/>
  <c r="B65" i="23"/>
  <c r="C65" i="25"/>
  <c r="D65" i="25"/>
  <c r="E65" i="25"/>
  <c r="F65" i="25"/>
  <c r="G65" i="25"/>
  <c r="H65" i="25"/>
  <c r="I65" i="25"/>
  <c r="J65" i="25"/>
  <c r="K65" i="25"/>
  <c r="L65" i="25"/>
  <c r="M65" i="25"/>
  <c r="C66" i="25"/>
  <c r="D66" i="25"/>
  <c r="E66" i="25"/>
  <c r="F66" i="25"/>
  <c r="G66" i="25"/>
  <c r="H66" i="25"/>
  <c r="I66" i="25"/>
  <c r="J66" i="25"/>
  <c r="L66" i="25"/>
  <c r="M66" i="25"/>
  <c r="C67" i="25"/>
  <c r="D67" i="25"/>
  <c r="E67" i="25"/>
  <c r="F67" i="25"/>
  <c r="G67" i="25"/>
  <c r="H67" i="25"/>
  <c r="I67" i="25"/>
  <c r="J67" i="25"/>
  <c r="K67" i="25"/>
  <c r="L67" i="25"/>
  <c r="M67" i="25"/>
  <c r="C68" i="25"/>
  <c r="D68" i="25"/>
  <c r="E68" i="25"/>
  <c r="F68" i="25"/>
  <c r="G68" i="25"/>
  <c r="H68" i="25"/>
  <c r="I68" i="25"/>
  <c r="J68" i="25"/>
  <c r="K68" i="25"/>
  <c r="L68" i="25"/>
  <c r="M68" i="25"/>
  <c r="C69" i="25"/>
  <c r="D69" i="25"/>
  <c r="E69" i="25"/>
  <c r="F69" i="25"/>
  <c r="G69" i="25"/>
  <c r="H69" i="25"/>
  <c r="I69" i="25"/>
  <c r="J69" i="25"/>
  <c r="K69" i="25"/>
  <c r="L69" i="25"/>
  <c r="M69" i="25"/>
  <c r="C70" i="25"/>
  <c r="D70" i="25"/>
  <c r="E70" i="25"/>
  <c r="F70" i="25"/>
  <c r="G70" i="25"/>
  <c r="H70" i="25"/>
  <c r="I70" i="25"/>
  <c r="J70" i="25"/>
  <c r="K70" i="25"/>
  <c r="L70" i="25"/>
  <c r="M70" i="25"/>
  <c r="C71" i="25"/>
  <c r="D71" i="25"/>
  <c r="E71" i="25"/>
  <c r="F71" i="25"/>
  <c r="G71" i="25"/>
  <c r="H71" i="25"/>
  <c r="I71" i="25"/>
  <c r="J71" i="25"/>
  <c r="K71" i="25"/>
  <c r="L71" i="25"/>
  <c r="M71" i="25"/>
  <c r="B71" i="25"/>
  <c r="B70" i="25"/>
  <c r="B69" i="25"/>
  <c r="B68" i="25"/>
  <c r="N68" i="25" s="1"/>
  <c r="B67" i="25"/>
  <c r="B66" i="25"/>
  <c r="B65" i="25"/>
  <c r="N8" i="25"/>
  <c r="N12" i="25"/>
  <c r="N13" i="25"/>
  <c r="N15" i="25"/>
  <c r="N26" i="25"/>
  <c r="N29" i="25"/>
  <c r="N31" i="25"/>
  <c r="N11" i="25"/>
  <c r="N14" i="25"/>
  <c r="N25" i="25"/>
  <c r="N30" i="25"/>
  <c r="N4" i="25"/>
  <c r="N5" i="25"/>
  <c r="N6" i="25"/>
  <c r="N7" i="25"/>
  <c r="N9" i="25"/>
  <c r="N18" i="25"/>
  <c r="N20" i="25"/>
  <c r="N21" i="25"/>
  <c r="N24" i="25"/>
  <c r="N28" i="25"/>
  <c r="N34" i="25"/>
  <c r="N36" i="25"/>
  <c r="N38" i="25"/>
  <c r="N40" i="25"/>
  <c r="N42" i="25"/>
  <c r="N44" i="25"/>
  <c r="N46" i="25"/>
  <c r="N48" i="25"/>
  <c r="N50" i="25"/>
  <c r="N51" i="25"/>
  <c r="N33" i="25"/>
  <c r="N22" i="25"/>
  <c r="N16" i="25"/>
  <c r="N19" i="25"/>
  <c r="N23" i="25"/>
  <c r="N27" i="25"/>
  <c r="N35" i="25"/>
  <c r="N37" i="25"/>
  <c r="N39" i="25"/>
  <c r="N41" i="25"/>
  <c r="N43" i="25"/>
  <c r="N45" i="25"/>
  <c r="N49" i="25"/>
  <c r="N8" i="23"/>
  <c r="N12" i="23"/>
  <c r="N13" i="23"/>
  <c r="N15" i="23"/>
  <c r="N28" i="23"/>
  <c r="N32" i="23"/>
  <c r="N26" i="23"/>
  <c r="N4" i="23"/>
  <c r="N6" i="23"/>
  <c r="N9" i="23"/>
  <c r="N17" i="23"/>
  <c r="N18" i="23"/>
  <c r="N21" i="23"/>
  <c r="N19" i="23"/>
  <c r="N22" i="23"/>
  <c r="N30" i="23"/>
  <c r="N34" i="23"/>
  <c r="N36" i="23"/>
  <c r="N38" i="23"/>
  <c r="N40" i="23"/>
  <c r="N42" i="23"/>
  <c r="N44" i="23"/>
  <c r="N46" i="23"/>
  <c r="N48" i="23"/>
  <c r="N50" i="23"/>
  <c r="N51" i="23"/>
  <c r="B52" i="25"/>
  <c r="C52" i="25"/>
  <c r="D52" i="25"/>
  <c r="E52" i="25"/>
  <c r="F52" i="25"/>
  <c r="G52" i="25"/>
  <c r="H52" i="25"/>
  <c r="I52" i="25"/>
  <c r="J52" i="25"/>
  <c r="L52" i="25"/>
  <c r="M52" i="25"/>
  <c r="N10" i="25"/>
  <c r="N32" i="25"/>
  <c r="N47" i="25"/>
  <c r="B56" i="25"/>
  <c r="C56" i="25"/>
  <c r="C58" i="25" s="1"/>
  <c r="C60" i="25" s="1"/>
  <c r="D56" i="25"/>
  <c r="E56" i="25"/>
  <c r="E58" i="25" s="1"/>
  <c r="E60" i="25" s="1"/>
  <c r="F56" i="25"/>
  <c r="F58" i="25" s="1"/>
  <c r="F60" i="25" s="1"/>
  <c r="G56" i="25"/>
  <c r="G58" i="25" s="1"/>
  <c r="G60" i="25" s="1"/>
  <c r="H56" i="25"/>
  <c r="H58" i="25" s="1"/>
  <c r="H60" i="25" s="1"/>
  <c r="I56" i="25"/>
  <c r="J56" i="25"/>
  <c r="L56" i="25"/>
  <c r="M56" i="25"/>
  <c r="B57" i="25"/>
  <c r="B58" i="25" s="1"/>
  <c r="B60" i="25" s="1"/>
  <c r="C57" i="25"/>
  <c r="D57" i="25"/>
  <c r="E57" i="25"/>
  <c r="F57" i="25"/>
  <c r="G57" i="25"/>
  <c r="H57" i="25"/>
  <c r="I57" i="25"/>
  <c r="J57" i="25"/>
  <c r="K57" i="25"/>
  <c r="L57" i="25"/>
  <c r="M57" i="25"/>
  <c r="M58" i="25" s="1"/>
  <c r="M60" i="25" s="1"/>
  <c r="C52" i="23"/>
  <c r="D52" i="23"/>
  <c r="E52" i="23"/>
  <c r="F52" i="23"/>
  <c r="G52" i="23"/>
  <c r="H52" i="23"/>
  <c r="I52" i="23"/>
  <c r="J52" i="23"/>
  <c r="K52" i="23"/>
  <c r="L52" i="23"/>
  <c r="M52" i="23"/>
  <c r="C56" i="23"/>
  <c r="C58" i="23" s="1"/>
  <c r="C60" i="23" s="1"/>
  <c r="D56" i="23"/>
  <c r="E56" i="23"/>
  <c r="F56" i="23"/>
  <c r="F58" i="23" s="1"/>
  <c r="F60" i="23" s="1"/>
  <c r="G56" i="23"/>
  <c r="G58" i="23" s="1"/>
  <c r="G60" i="23" s="1"/>
  <c r="H56" i="23"/>
  <c r="I56" i="23"/>
  <c r="J56" i="23"/>
  <c r="K56" i="23"/>
  <c r="L56" i="23"/>
  <c r="M56" i="23"/>
  <c r="N5" i="23"/>
  <c r="N7" i="23"/>
  <c r="N24" i="23"/>
  <c r="N10" i="23"/>
  <c r="N16" i="23"/>
  <c r="N20" i="23"/>
  <c r="N29" i="23"/>
  <c r="N23" i="23"/>
  <c r="N33" i="23"/>
  <c r="N35" i="23"/>
  <c r="N37" i="23"/>
  <c r="N39" i="23"/>
  <c r="N41" i="23"/>
  <c r="N43" i="23"/>
  <c r="N45" i="23"/>
  <c r="N47" i="23"/>
  <c r="N49" i="23"/>
  <c r="B56" i="23"/>
  <c r="B52" i="23"/>
  <c r="N52" i="23" s="1"/>
  <c r="N27" i="23"/>
  <c r="C57" i="23"/>
  <c r="D57" i="23"/>
  <c r="D58" i="23" s="1"/>
  <c r="E57" i="23"/>
  <c r="E58" i="23" s="1"/>
  <c r="E60" i="23" s="1"/>
  <c r="F57" i="23"/>
  <c r="G57" i="23"/>
  <c r="H57" i="23"/>
  <c r="I57" i="23"/>
  <c r="I58" i="23" s="1"/>
  <c r="J57" i="23"/>
  <c r="K57" i="23"/>
  <c r="L57" i="23"/>
  <c r="L58" i="23" s="1"/>
  <c r="M57" i="23"/>
  <c r="N11" i="23"/>
  <c r="N14" i="23"/>
  <c r="N25" i="23"/>
  <c r="J58" i="23"/>
  <c r="K58" i="23"/>
  <c r="B57" i="23"/>
  <c r="N31" i="23"/>
  <c r="H65" i="22"/>
  <c r="I65" i="22"/>
  <c r="J65" i="22"/>
  <c r="K65" i="22"/>
  <c r="L65" i="22"/>
  <c r="M65" i="22"/>
  <c r="M66" i="22" s="1"/>
  <c r="N11" i="22"/>
  <c r="N65" i="22" s="1"/>
  <c r="E3" i="26" s="1"/>
  <c r="N15" i="22"/>
  <c r="N19" i="22"/>
  <c r="N20" i="22"/>
  <c r="N21" i="22"/>
  <c r="N34" i="22"/>
  <c r="N37" i="22"/>
  <c r="N38" i="22"/>
  <c r="N59" i="22"/>
  <c r="N18" i="22"/>
  <c r="N22" i="22"/>
  <c r="N30" i="22"/>
  <c r="N35" i="22"/>
  <c r="I64" i="22"/>
  <c r="I66" i="22" s="1"/>
  <c r="J64" i="22"/>
  <c r="J66" i="22" s="1"/>
  <c r="J68" i="22" s="1"/>
  <c r="K64" i="22"/>
  <c r="L64" i="22"/>
  <c r="L66" i="22" s="1"/>
  <c r="L68" i="22" s="1"/>
  <c r="M64" i="22"/>
  <c r="N4" i="22"/>
  <c r="N5" i="22"/>
  <c r="N6" i="22"/>
  <c r="N7" i="22"/>
  <c r="N8" i="22"/>
  <c r="N9" i="22"/>
  <c r="N10" i="22"/>
  <c r="N13" i="22"/>
  <c r="N14" i="22"/>
  <c r="N16" i="22"/>
  <c r="N24" i="22"/>
  <c r="N25" i="22"/>
  <c r="N26" i="22"/>
  <c r="N29" i="22"/>
  <c r="N31" i="22"/>
  <c r="N36" i="22"/>
  <c r="N40" i="22"/>
  <c r="N41" i="22"/>
  <c r="N42" i="22"/>
  <c r="N43" i="22"/>
  <c r="N44" i="22"/>
  <c r="N45" i="22"/>
  <c r="N46" i="22"/>
  <c r="N47" i="22"/>
  <c r="N48" i="22"/>
  <c r="N23" i="22"/>
  <c r="N27" i="22"/>
  <c r="N28" i="22"/>
  <c r="N32" i="22"/>
  <c r="N33" i="22"/>
  <c r="N49" i="22"/>
  <c r="N50" i="22"/>
  <c r="N51" i="22"/>
  <c r="N52" i="22"/>
  <c r="N53" i="22"/>
  <c r="N54" i="22"/>
  <c r="N55" i="22"/>
  <c r="N56" i="22"/>
  <c r="N57" i="22"/>
  <c r="N58" i="22"/>
  <c r="N12" i="22"/>
  <c r="G65" i="22"/>
  <c r="G64" i="22"/>
  <c r="B60" i="22"/>
  <c r="C60" i="22"/>
  <c r="D60" i="22"/>
  <c r="E60" i="22"/>
  <c r="F60" i="22"/>
  <c r="G60" i="22"/>
  <c r="H60" i="22"/>
  <c r="I60" i="22"/>
  <c r="J60" i="22"/>
  <c r="K60" i="22"/>
  <c r="L60" i="22"/>
  <c r="M60" i="22"/>
  <c r="N17" i="22"/>
  <c r="F65" i="22"/>
  <c r="F64" i="22"/>
  <c r="D64" i="22"/>
  <c r="D66" i="22" s="1"/>
  <c r="D68" i="22" s="1"/>
  <c r="E64" i="22"/>
  <c r="C64" i="22"/>
  <c r="C65" i="22"/>
  <c r="C66" i="22" s="1"/>
  <c r="D65" i="22"/>
  <c r="E65" i="22"/>
  <c r="B64" i="22"/>
  <c r="B65" i="22"/>
  <c r="P5" i="2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" i="21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" i="20"/>
  <c r="N43" i="21"/>
  <c r="C45" i="21"/>
  <c r="C49" i="21"/>
  <c r="C50" i="21"/>
  <c r="C51" i="21" s="1"/>
  <c r="C53" i="21" s="1"/>
  <c r="D49" i="21"/>
  <c r="D50" i="21"/>
  <c r="D51" i="21"/>
  <c r="D53" i="21" s="1"/>
  <c r="D45" i="21"/>
  <c r="E49" i="21"/>
  <c r="E45" i="21"/>
  <c r="F45" i="21"/>
  <c r="F49" i="21"/>
  <c r="F50" i="21"/>
  <c r="G49" i="21"/>
  <c r="G45" i="21"/>
  <c r="H49" i="21"/>
  <c r="H50" i="21"/>
  <c r="H51" i="21"/>
  <c r="H53" i="21" s="1"/>
  <c r="H45" i="21"/>
  <c r="I49" i="21"/>
  <c r="I50" i="21"/>
  <c r="I45" i="21"/>
  <c r="J49" i="21"/>
  <c r="J51" i="21" s="1"/>
  <c r="J53" i="21" s="1"/>
  <c r="J50" i="21"/>
  <c r="J45" i="21"/>
  <c r="K49" i="21"/>
  <c r="K50" i="21"/>
  <c r="K45" i="21"/>
  <c r="L49" i="21"/>
  <c r="L50" i="21"/>
  <c r="L45" i="21"/>
  <c r="M49" i="21"/>
  <c r="M50" i="21"/>
  <c r="M45" i="21"/>
  <c r="B49" i="21"/>
  <c r="B50" i="21"/>
  <c r="B51" i="21" s="1"/>
  <c r="B45" i="21"/>
  <c r="E50" i="21"/>
  <c r="E51" i="21" s="1"/>
  <c r="E53" i="21" s="1"/>
  <c r="G50" i="21"/>
  <c r="N5" i="21"/>
  <c r="N7" i="21"/>
  <c r="N10" i="21"/>
  <c r="N14" i="21"/>
  <c r="N15" i="21"/>
  <c r="N21" i="21"/>
  <c r="N24" i="21"/>
  <c r="N32" i="21"/>
  <c r="N42" i="21"/>
  <c r="N11" i="21"/>
  <c r="N29" i="21"/>
  <c r="N40" i="21"/>
  <c r="N25" i="21"/>
  <c r="N4" i="21"/>
  <c r="N6" i="21"/>
  <c r="N8" i="21"/>
  <c r="N49" i="21" s="1"/>
  <c r="N12" i="21"/>
  <c r="N19" i="21"/>
  <c r="N22" i="21"/>
  <c r="N23" i="21"/>
  <c r="N26" i="21"/>
  <c r="N28" i="21"/>
  <c r="N33" i="21"/>
  <c r="N34" i="21"/>
  <c r="N35" i="21"/>
  <c r="N36" i="21"/>
  <c r="N37" i="21"/>
  <c r="N38" i="21"/>
  <c r="N39" i="21"/>
  <c r="N41" i="21"/>
  <c r="N20" i="21"/>
  <c r="N13" i="21"/>
  <c r="N9" i="21"/>
  <c r="N16" i="21"/>
  <c r="N17" i="21"/>
  <c r="N18" i="21"/>
  <c r="N27" i="21"/>
  <c r="N30" i="21"/>
  <c r="N31" i="21"/>
  <c r="N44" i="21"/>
  <c r="B42" i="19"/>
  <c r="D42" i="19"/>
  <c r="E42" i="19"/>
  <c r="F42" i="19"/>
  <c r="G42" i="19"/>
  <c r="H42" i="19"/>
  <c r="H44" i="19" s="1"/>
  <c r="H46" i="19" s="1"/>
  <c r="I42" i="19"/>
  <c r="J42" i="19"/>
  <c r="K42" i="19"/>
  <c r="L42" i="19"/>
  <c r="M42" i="19"/>
  <c r="N8" i="19"/>
  <c r="N10" i="19"/>
  <c r="N11" i="19"/>
  <c r="N13" i="19"/>
  <c r="F43" i="19"/>
  <c r="F38" i="19"/>
  <c r="N16" i="19"/>
  <c r="N9" i="19"/>
  <c r="N12" i="19"/>
  <c r="B43" i="19"/>
  <c r="C43" i="19"/>
  <c r="D43" i="19"/>
  <c r="E43" i="19"/>
  <c r="G43" i="19"/>
  <c r="H43" i="19"/>
  <c r="I43" i="19"/>
  <c r="J43" i="19"/>
  <c r="K43" i="19"/>
  <c r="L43" i="19"/>
  <c r="M43" i="19"/>
  <c r="B48" i="20"/>
  <c r="C48" i="20"/>
  <c r="D48" i="20"/>
  <c r="E48" i="20"/>
  <c r="F48" i="20"/>
  <c r="H48" i="20"/>
  <c r="I48" i="20"/>
  <c r="J48" i="20"/>
  <c r="K48" i="20"/>
  <c r="L48" i="20"/>
  <c r="M48" i="20"/>
  <c r="C49" i="20"/>
  <c r="D49" i="20"/>
  <c r="E49" i="20"/>
  <c r="F49" i="20"/>
  <c r="G49" i="20"/>
  <c r="H49" i="20"/>
  <c r="I49" i="20"/>
  <c r="J49" i="20"/>
  <c r="K49" i="20"/>
  <c r="L49" i="20"/>
  <c r="M49" i="20"/>
  <c r="L44" i="20"/>
  <c r="N9" i="20"/>
  <c r="N49" i="20" s="1"/>
  <c r="C3" i="26" s="1"/>
  <c r="N13" i="20"/>
  <c r="N18" i="20"/>
  <c r="N16" i="20"/>
  <c r="N17" i="20"/>
  <c r="N27" i="20"/>
  <c r="N29" i="20"/>
  <c r="N30" i="20"/>
  <c r="N4" i="20"/>
  <c r="N6" i="20"/>
  <c r="N8" i="20"/>
  <c r="N12" i="20"/>
  <c r="N14" i="20"/>
  <c r="N19" i="20"/>
  <c r="N23" i="20"/>
  <c r="N28" i="20"/>
  <c r="N32" i="20"/>
  <c r="N33" i="20"/>
  <c r="N34" i="20"/>
  <c r="N35" i="20"/>
  <c r="N36" i="20"/>
  <c r="N37" i="20"/>
  <c r="N24" i="20"/>
  <c r="N38" i="20"/>
  <c r="N39" i="20"/>
  <c r="N40" i="20"/>
  <c r="N11" i="20"/>
  <c r="N15" i="20"/>
  <c r="N10" i="20"/>
  <c r="N20" i="20"/>
  <c r="N21" i="20"/>
  <c r="N25" i="20"/>
  <c r="N31" i="20"/>
  <c r="N5" i="20"/>
  <c r="N41" i="20"/>
  <c r="G22" i="20"/>
  <c r="G44" i="20" s="1"/>
  <c r="G26" i="20"/>
  <c r="K44" i="20"/>
  <c r="J44" i="20"/>
  <c r="I44" i="20"/>
  <c r="H44" i="20"/>
  <c r="F44" i="20"/>
  <c r="E44" i="20"/>
  <c r="B43" i="20"/>
  <c r="B49" i="20"/>
  <c r="B50" i="20" s="1"/>
  <c r="B44" i="20"/>
  <c r="C44" i="20"/>
  <c r="D44" i="20"/>
  <c r="N7" i="20"/>
  <c r="M44" i="20"/>
  <c r="N37" i="19"/>
  <c r="M38" i="19"/>
  <c r="N14" i="19"/>
  <c r="N15" i="19"/>
  <c r="N17" i="19"/>
  <c r="N18" i="19"/>
  <c r="N19" i="19"/>
  <c r="N20" i="19"/>
  <c r="N21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J38" i="19"/>
  <c r="N29" i="18"/>
  <c r="N30" i="18"/>
  <c r="C22" i="19"/>
  <c r="C42" i="19" s="1"/>
  <c r="E38" i="19"/>
  <c r="D38" i="19"/>
  <c r="N4" i="19"/>
  <c r="N5" i="19"/>
  <c r="N6" i="19"/>
  <c r="N7" i="19"/>
  <c r="B38" i="19"/>
  <c r="G38" i="19"/>
  <c r="H38" i="19"/>
  <c r="I38" i="19"/>
  <c r="K38" i="19"/>
  <c r="L38" i="19"/>
  <c r="N11" i="18"/>
  <c r="N4" i="18"/>
  <c r="N6" i="18"/>
  <c r="N7" i="18"/>
  <c r="N35" i="18" s="1"/>
  <c r="N8" i="18"/>
  <c r="N9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5" i="18"/>
  <c r="N10" i="18"/>
  <c r="M31" i="18"/>
  <c r="L31" i="18"/>
  <c r="G31" i="18"/>
  <c r="H31" i="18"/>
  <c r="I31" i="18"/>
  <c r="J31" i="18"/>
  <c r="K31" i="18"/>
  <c r="F13" i="17"/>
  <c r="E13" i="17"/>
  <c r="D13" i="17"/>
  <c r="C13" i="17"/>
  <c r="B13" i="17"/>
  <c r="N4" i="17"/>
  <c r="N32" i="17" s="1"/>
  <c r="N5" i="17"/>
  <c r="N6" i="17"/>
  <c r="N7" i="17"/>
  <c r="N8" i="17"/>
  <c r="N9" i="17"/>
  <c r="N10" i="17"/>
  <c r="N11" i="17"/>
  <c r="N12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B28" i="17"/>
  <c r="D28" i="17"/>
  <c r="E28" i="17"/>
  <c r="F28" i="17"/>
  <c r="G28" i="17"/>
  <c r="H28" i="17"/>
  <c r="I28" i="17"/>
  <c r="J28" i="17"/>
  <c r="K28" i="17"/>
  <c r="L28" i="17"/>
  <c r="M28" i="17"/>
  <c r="M13" i="16"/>
  <c r="L13" i="16"/>
  <c r="L28" i="16" s="1"/>
  <c r="K13" i="16"/>
  <c r="J13" i="16"/>
  <c r="J28" i="16" s="1"/>
  <c r="G13" i="16"/>
  <c r="F13" i="16"/>
  <c r="F28" i="16" s="1"/>
  <c r="E13" i="16"/>
  <c r="E28" i="16" s="1"/>
  <c r="D13" i="16"/>
  <c r="D28" i="16" s="1"/>
  <c r="C13" i="16"/>
  <c r="C28" i="16" s="1"/>
  <c r="B13" i="16"/>
  <c r="B28" i="16" s="1"/>
  <c r="H28" i="16"/>
  <c r="I28" i="16"/>
  <c r="K28" i="16"/>
  <c r="M28" i="16"/>
  <c r="N4" i="16"/>
  <c r="N32" i="16" s="1"/>
  <c r="N5" i="16"/>
  <c r="N6" i="16"/>
  <c r="N7" i="16"/>
  <c r="N8" i="16"/>
  <c r="N9" i="16"/>
  <c r="N10" i="16"/>
  <c r="N11" i="16"/>
  <c r="N12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M13" i="11"/>
  <c r="L13" i="11"/>
  <c r="L28" i="11" s="1"/>
  <c r="K13" i="11"/>
  <c r="K28" i="11" s="1"/>
  <c r="J13" i="11"/>
  <c r="J28" i="11" s="1"/>
  <c r="B28" i="5"/>
  <c r="C28" i="5"/>
  <c r="D28" i="5"/>
  <c r="E28" i="5"/>
  <c r="F28" i="5"/>
  <c r="G28" i="5"/>
  <c r="H28" i="5"/>
  <c r="I28" i="5"/>
  <c r="J28" i="5"/>
  <c r="K28" i="5"/>
  <c r="L28" i="5"/>
  <c r="M28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C13" i="6"/>
  <c r="C28" i="6" s="1"/>
  <c r="B13" i="6"/>
  <c r="B28" i="6" s="1"/>
  <c r="D13" i="6"/>
  <c r="D28" i="6"/>
  <c r="E13" i="6"/>
  <c r="E28" i="6"/>
  <c r="F28" i="6"/>
  <c r="G13" i="6"/>
  <c r="G28" i="6" s="1"/>
  <c r="H28" i="6"/>
  <c r="I28" i="6"/>
  <c r="J28" i="6"/>
  <c r="K28" i="6"/>
  <c r="L13" i="6"/>
  <c r="L28" i="6" s="1"/>
  <c r="M13" i="6"/>
  <c r="M28" i="6" s="1"/>
  <c r="N4" i="6"/>
  <c r="N5" i="6"/>
  <c r="N6" i="6"/>
  <c r="N7" i="6"/>
  <c r="N8" i="6"/>
  <c r="N9" i="6"/>
  <c r="N10" i="6"/>
  <c r="N11" i="6"/>
  <c r="N12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M13" i="7"/>
  <c r="M28" i="7" s="1"/>
  <c r="L13" i="7"/>
  <c r="L28" i="7" s="1"/>
  <c r="K13" i="7"/>
  <c r="K28" i="7" s="1"/>
  <c r="J13" i="7"/>
  <c r="J28" i="7" s="1"/>
  <c r="G13" i="7"/>
  <c r="G28" i="7"/>
  <c r="F13" i="7"/>
  <c r="F28" i="7" s="1"/>
  <c r="E13" i="7"/>
  <c r="E28" i="7" s="1"/>
  <c r="D13" i="7"/>
  <c r="C13" i="7"/>
  <c r="B13" i="7"/>
  <c r="B28" i="7" s="1"/>
  <c r="D28" i="7"/>
  <c r="H28" i="7"/>
  <c r="I28" i="7"/>
  <c r="N4" i="7"/>
  <c r="N5" i="7"/>
  <c r="N6" i="7"/>
  <c r="N7" i="7"/>
  <c r="N8" i="7"/>
  <c r="N9" i="7"/>
  <c r="N10" i="7"/>
  <c r="N11" i="7"/>
  <c r="N12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5" i="8"/>
  <c r="N6" i="8"/>
  <c r="N7" i="8"/>
  <c r="N8" i="8"/>
  <c r="N9" i="8"/>
  <c r="N16" i="8"/>
  <c r="N18" i="8"/>
  <c r="N19" i="8"/>
  <c r="N20" i="8"/>
  <c r="N22" i="8"/>
  <c r="N23" i="8"/>
  <c r="N25" i="8"/>
  <c r="N4" i="8"/>
  <c r="N10" i="8"/>
  <c r="N11" i="8"/>
  <c r="N12" i="8"/>
  <c r="B13" i="8"/>
  <c r="C13" i="8"/>
  <c r="C28" i="8" s="1"/>
  <c r="D13" i="8"/>
  <c r="E13" i="8"/>
  <c r="N13" i="8" s="1"/>
  <c r="F13" i="8"/>
  <c r="G13" i="8"/>
  <c r="G28" i="8" s="1"/>
  <c r="J13" i="8"/>
  <c r="J28" i="8" s="1"/>
  <c r="K13" i="8"/>
  <c r="K28" i="8" s="1"/>
  <c r="L13" i="8"/>
  <c r="L28" i="8" s="1"/>
  <c r="M13" i="8"/>
  <c r="M28" i="8"/>
  <c r="N14" i="8"/>
  <c r="N15" i="8"/>
  <c r="N17" i="8"/>
  <c r="N21" i="8"/>
  <c r="N24" i="8"/>
  <c r="N26" i="8"/>
  <c r="N27" i="8"/>
  <c r="B28" i="8"/>
  <c r="D28" i="8"/>
  <c r="F28" i="8"/>
  <c r="H28" i="8"/>
  <c r="I28" i="8"/>
  <c r="M13" i="9"/>
  <c r="M28" i="9"/>
  <c r="J13" i="9"/>
  <c r="J28" i="9" s="1"/>
  <c r="F13" i="9"/>
  <c r="F28" i="9" s="1"/>
  <c r="D13" i="9"/>
  <c r="C13" i="9"/>
  <c r="B13" i="9"/>
  <c r="B28" i="9" s="1"/>
  <c r="D28" i="9"/>
  <c r="E28" i="9"/>
  <c r="G28" i="9"/>
  <c r="H28" i="9"/>
  <c r="I28" i="9"/>
  <c r="K28" i="9"/>
  <c r="L28" i="9"/>
  <c r="N4" i="9"/>
  <c r="N5" i="9"/>
  <c r="N6" i="9"/>
  <c r="N7" i="9"/>
  <c r="N8" i="9"/>
  <c r="N9" i="9"/>
  <c r="N10" i="9"/>
  <c r="N11" i="9"/>
  <c r="N12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M13" i="10"/>
  <c r="M28" i="10" s="1"/>
  <c r="L13" i="10"/>
  <c r="L28" i="10" s="1"/>
  <c r="K13" i="10"/>
  <c r="K28" i="10" s="1"/>
  <c r="J13" i="10"/>
  <c r="J28" i="10" s="1"/>
  <c r="G13" i="10"/>
  <c r="F13" i="10"/>
  <c r="F28" i="10" s="1"/>
  <c r="E13" i="10"/>
  <c r="D13" i="10"/>
  <c r="D28" i="10" s="1"/>
  <c r="C13" i="10"/>
  <c r="B13" i="10"/>
  <c r="B28" i="10" s="1"/>
  <c r="C28" i="10"/>
  <c r="E28" i="10"/>
  <c r="G28" i="10"/>
  <c r="H28" i="10"/>
  <c r="I28" i="10"/>
  <c r="N4" i="10"/>
  <c r="N5" i="10"/>
  <c r="N6" i="10"/>
  <c r="N7" i="10"/>
  <c r="N8" i="10"/>
  <c r="N9" i="10"/>
  <c r="N10" i="10"/>
  <c r="N11" i="10"/>
  <c r="N12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G13" i="11"/>
  <c r="G28" i="11"/>
  <c r="F13" i="11"/>
  <c r="E13" i="11"/>
  <c r="E28" i="11" s="1"/>
  <c r="D13" i="11"/>
  <c r="D28" i="11" s="1"/>
  <c r="C13" i="11"/>
  <c r="C28" i="11"/>
  <c r="B13" i="11"/>
  <c r="B28" i="11" s="1"/>
  <c r="H28" i="11"/>
  <c r="I28" i="11"/>
  <c r="M28" i="11"/>
  <c r="N4" i="11"/>
  <c r="N5" i="11"/>
  <c r="N6" i="11"/>
  <c r="N7" i="11"/>
  <c r="N8" i="11"/>
  <c r="N34" i="11" s="1"/>
  <c r="N9" i="11"/>
  <c r="N10" i="11"/>
  <c r="N11" i="11"/>
  <c r="N12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2" i="19"/>
  <c r="N33" i="17"/>
  <c r="N22" i="20"/>
  <c r="N43" i="20"/>
  <c r="C38" i="19"/>
  <c r="N42" i="19"/>
  <c r="B2" i="26" s="1"/>
  <c r="I58" i="25"/>
  <c r="I60" i="25"/>
  <c r="J58" i="25"/>
  <c r="J60" i="25"/>
  <c r="K56" i="27"/>
  <c r="F62" i="27"/>
  <c r="M62" i="27"/>
  <c r="M64" i="27" s="1"/>
  <c r="K59" i="28"/>
  <c r="M59" i="28"/>
  <c r="N8" i="28"/>
  <c r="G51" i="28"/>
  <c r="O14" i="23" l="1"/>
  <c r="O33" i="23"/>
  <c r="O32" i="23"/>
  <c r="O17" i="19"/>
  <c r="O8" i="19"/>
  <c r="O40" i="23"/>
  <c r="O51" i="23"/>
  <c r="O10" i="23"/>
  <c r="O29" i="23"/>
  <c r="O31" i="23"/>
  <c r="O48" i="23"/>
  <c r="O13" i="23"/>
  <c r="O18" i="23"/>
  <c r="O49" i="23"/>
  <c r="O41" i="23"/>
  <c r="O37" i="23"/>
  <c r="O26" i="23"/>
  <c r="O21" i="23"/>
  <c r="O26" i="19"/>
  <c r="O12" i="19"/>
  <c r="O4" i="23"/>
  <c r="O22" i="23"/>
  <c r="O35" i="19"/>
  <c r="O18" i="19"/>
  <c r="N43" i="19"/>
  <c r="B3" i="26" s="1"/>
  <c r="F50" i="20"/>
  <c r="B53" i="21"/>
  <c r="N70" i="25"/>
  <c r="N38" i="19"/>
  <c r="O4" i="19" s="1"/>
  <c r="K51" i="21"/>
  <c r="K53" i="21" s="1"/>
  <c r="I68" i="22"/>
  <c r="K66" i="22"/>
  <c r="K68" i="22" s="1"/>
  <c r="J60" i="23"/>
  <c r="D58" i="25"/>
  <c r="D60" i="25" s="1"/>
  <c r="K52" i="25"/>
  <c r="N52" i="25" s="1"/>
  <c r="N60" i="20"/>
  <c r="N71" i="27"/>
  <c r="N75" i="27"/>
  <c r="M68" i="22"/>
  <c r="N73" i="27"/>
  <c r="N56" i="27"/>
  <c r="O24" i="27" s="1"/>
  <c r="N79" i="22"/>
  <c r="C44" i="19"/>
  <c r="C46" i="19" s="1"/>
  <c r="M58" i="23"/>
  <c r="M60" i="23" s="1"/>
  <c r="B62" i="27"/>
  <c r="B64" i="27" s="1"/>
  <c r="N68" i="28"/>
  <c r="O14" i="19"/>
  <c r="N13" i="6"/>
  <c r="N33" i="11"/>
  <c r="L44" i="19"/>
  <c r="C68" i="22"/>
  <c r="N69" i="23"/>
  <c r="N33" i="27"/>
  <c r="G73" i="27"/>
  <c r="N66" i="23"/>
  <c r="F51" i="21"/>
  <c r="F64" i="27"/>
  <c r="C50" i="20"/>
  <c r="K44" i="19"/>
  <c r="K46" i="19" s="1"/>
  <c r="N70" i="23"/>
  <c r="N75" i="22"/>
  <c r="N52" i="19"/>
  <c r="H58" i="23"/>
  <c r="H60" i="23" s="1"/>
  <c r="L51" i="21"/>
  <c r="L53" i="21" s="1"/>
  <c r="B58" i="23"/>
  <c r="B60" i="23" s="1"/>
  <c r="N56" i="19"/>
  <c r="K60" i="23"/>
  <c r="N61" i="21"/>
  <c r="N60" i="21"/>
  <c r="K50" i="20"/>
  <c r="E44" i="19"/>
  <c r="E46" i="19" s="1"/>
  <c r="F44" i="19"/>
  <c r="F46" i="19" s="1"/>
  <c r="I60" i="23"/>
  <c r="N65" i="21"/>
  <c r="N64" i="21"/>
  <c r="L62" i="27"/>
  <c r="L64" i="27" s="1"/>
  <c r="C62" i="27"/>
  <c r="C64" i="27" s="1"/>
  <c r="H59" i="28"/>
  <c r="N60" i="22"/>
  <c r="O42" i="22" s="1"/>
  <c r="O7" i="23"/>
  <c r="O44" i="23"/>
  <c r="O36" i="23"/>
  <c r="O25" i="23"/>
  <c r="O17" i="23"/>
  <c r="O9" i="23"/>
  <c r="O45" i="23"/>
  <c r="O50" i="23"/>
  <c r="O42" i="23"/>
  <c r="O34" i="23"/>
  <c r="O5" i="23"/>
  <c r="O52" i="23"/>
  <c r="O43" i="23"/>
  <c r="O35" i="23"/>
  <c r="O24" i="23"/>
  <c r="O16" i="23"/>
  <c r="O6" i="23"/>
  <c r="O46" i="23"/>
  <c r="O38" i="23"/>
  <c r="O27" i="23"/>
  <c r="O19" i="23"/>
  <c r="O11" i="23"/>
  <c r="O8" i="23"/>
  <c r="O28" i="23"/>
  <c r="O20" i="23"/>
  <c r="O12" i="23"/>
  <c r="O47" i="23"/>
  <c r="O39" i="23"/>
  <c r="O23" i="23"/>
  <c r="N65" i="25"/>
  <c r="N81" i="22"/>
  <c r="N80" i="22"/>
  <c r="N77" i="22"/>
  <c r="N76" i="22"/>
  <c r="N61" i="20"/>
  <c r="N55" i="20"/>
  <c r="N13" i="11"/>
  <c r="N35" i="11" s="1"/>
  <c r="F28" i="11"/>
  <c r="N13" i="16"/>
  <c r="N34" i="16" s="1"/>
  <c r="C28" i="17"/>
  <c r="N29" i="17" s="1"/>
  <c r="N13" i="17"/>
  <c r="D2" i="26"/>
  <c r="N45" i="21"/>
  <c r="O6" i="21" s="1"/>
  <c r="O24" i="21"/>
  <c r="G51" i="21"/>
  <c r="G53" i="21" s="1"/>
  <c r="L60" i="23"/>
  <c r="D60" i="23"/>
  <c r="N69" i="25"/>
  <c r="N67" i="25"/>
  <c r="N71" i="23"/>
  <c r="N55" i="19"/>
  <c r="O6" i="19"/>
  <c r="O23" i="19"/>
  <c r="O30" i="19"/>
  <c r="O29" i="19"/>
  <c r="O32" i="19"/>
  <c r="O37" i="19"/>
  <c r="O10" i="19"/>
  <c r="N13" i="10"/>
  <c r="C28" i="9"/>
  <c r="N13" i="9"/>
  <c r="N13" i="7"/>
  <c r="C28" i="7"/>
  <c r="N29" i="7" s="1"/>
  <c r="G28" i="16"/>
  <c r="N28" i="17"/>
  <c r="O30" i="23"/>
  <c r="N56" i="23"/>
  <c r="O15" i="23"/>
  <c r="N56" i="25"/>
  <c r="N57" i="25"/>
  <c r="G3" i="26" s="1"/>
  <c r="N59" i="20"/>
  <c r="N51" i="19"/>
  <c r="K56" i="25"/>
  <c r="K58" i="25" s="1"/>
  <c r="K66" i="25"/>
  <c r="N66" i="25" s="1"/>
  <c r="N28" i="7"/>
  <c r="O27" i="7" s="1"/>
  <c r="N28" i="5"/>
  <c r="O11" i="5" s="1"/>
  <c r="J44" i="19"/>
  <c r="J46" i="19" s="1"/>
  <c r="F53" i="21"/>
  <c r="E66" i="22"/>
  <c r="E68" i="22" s="1"/>
  <c r="L58" i="25"/>
  <c r="L60" i="25" s="1"/>
  <c r="N66" i="21"/>
  <c r="N63" i="21"/>
  <c r="N62" i="21"/>
  <c r="L50" i="20"/>
  <c r="H50" i="20"/>
  <c r="D44" i="19"/>
  <c r="D46" i="19" s="1"/>
  <c r="I44" i="19"/>
  <c r="I46" i="19" s="1"/>
  <c r="N50" i="21"/>
  <c r="D3" i="26" s="1"/>
  <c r="M51" i="21"/>
  <c r="M53" i="21" s="1"/>
  <c r="F66" i="22"/>
  <c r="F68" i="22" s="1"/>
  <c r="N65" i="23"/>
  <c r="N28" i="9"/>
  <c r="O17" i="9" s="1"/>
  <c r="N36" i="18"/>
  <c r="P44" i="20"/>
  <c r="G48" i="20"/>
  <c r="G50" i="20" s="1"/>
  <c r="J50" i="20"/>
  <c r="E50" i="20"/>
  <c r="M44" i="19"/>
  <c r="M46" i="19" s="1"/>
  <c r="G44" i="19"/>
  <c r="G46" i="19" s="1"/>
  <c r="B44" i="19"/>
  <c r="B46" i="19" s="1"/>
  <c r="I51" i="21"/>
  <c r="I53" i="21" s="1"/>
  <c r="G66" i="22"/>
  <c r="G68" i="22" s="1"/>
  <c r="N71" i="25"/>
  <c r="N67" i="23"/>
  <c r="N29" i="9"/>
  <c r="N29" i="5"/>
  <c r="N29" i="16"/>
  <c r="M50" i="20"/>
  <c r="I50" i="20"/>
  <c r="D50" i="20"/>
  <c r="P45" i="21"/>
  <c r="B66" i="22"/>
  <c r="B68" i="22" s="1"/>
  <c r="N64" i="22"/>
  <c r="N57" i="23"/>
  <c r="F3" i="26" s="1"/>
  <c r="N68" i="23"/>
  <c r="N58" i="20"/>
  <c r="N50" i="19"/>
  <c r="N54" i="19"/>
  <c r="N61" i="27"/>
  <c r="H3" i="26" s="1"/>
  <c r="N72" i="27"/>
  <c r="N74" i="27"/>
  <c r="O31" i="27"/>
  <c r="O17" i="27"/>
  <c r="O42" i="27"/>
  <c r="O36" i="27"/>
  <c r="O5" i="27"/>
  <c r="O48" i="27"/>
  <c r="O20" i="27"/>
  <c r="O52" i="27"/>
  <c r="O32" i="27"/>
  <c r="O12" i="27"/>
  <c r="O15" i="27"/>
  <c r="O43" i="27"/>
  <c r="O28" i="27"/>
  <c r="O54" i="27"/>
  <c r="O27" i="27"/>
  <c r="O21" i="27"/>
  <c r="O14" i="27"/>
  <c r="O41" i="27"/>
  <c r="O50" i="27"/>
  <c r="O45" i="27"/>
  <c r="O44" i="27"/>
  <c r="O39" i="27"/>
  <c r="K64" i="27"/>
  <c r="N29" i="10"/>
  <c r="O15" i="9"/>
  <c r="O19" i="9"/>
  <c r="O27" i="9"/>
  <c r="O6" i="9"/>
  <c r="O10" i="9"/>
  <c r="O18" i="9"/>
  <c r="O22" i="9"/>
  <c r="O4" i="9"/>
  <c r="O8" i="9"/>
  <c r="O12" i="9"/>
  <c r="O20" i="9"/>
  <c r="O24" i="9"/>
  <c r="O5" i="9"/>
  <c r="N28" i="8"/>
  <c r="O13" i="8" s="1"/>
  <c r="O9" i="7"/>
  <c r="O13" i="7"/>
  <c r="O17" i="7"/>
  <c r="O21" i="7"/>
  <c r="O25" i="7"/>
  <c r="O6" i="7"/>
  <c r="O10" i="7"/>
  <c r="O14" i="7"/>
  <c r="O18" i="7"/>
  <c r="O22" i="7"/>
  <c r="O26" i="7"/>
  <c r="O5" i="7"/>
  <c r="O4" i="7"/>
  <c r="O8" i="7"/>
  <c r="O12" i="7"/>
  <c r="O16" i="7"/>
  <c r="O20" i="7"/>
  <c r="O24" i="7"/>
  <c r="N29" i="6"/>
  <c r="E28" i="8"/>
  <c r="N29" i="8" s="1"/>
  <c r="O7" i="7"/>
  <c r="O23" i="5"/>
  <c r="O19" i="5"/>
  <c r="O15" i="5"/>
  <c r="N34" i="17"/>
  <c r="N37" i="18"/>
  <c r="N31" i="18"/>
  <c r="O26" i="5"/>
  <c r="N33" i="16"/>
  <c r="L46" i="19"/>
  <c r="N26" i="20"/>
  <c r="N9" i="27"/>
  <c r="G60" i="27"/>
  <c r="G62" i="27" s="1"/>
  <c r="G64" i="27" s="1"/>
  <c r="N51" i="28"/>
  <c r="O27" i="28" s="1"/>
  <c r="N67" i="28"/>
  <c r="N66" i="28"/>
  <c r="G59" i="28"/>
  <c r="F59" i="28"/>
  <c r="N55" i="28"/>
  <c r="N64" i="28"/>
  <c r="E57" i="28"/>
  <c r="E59" i="28" s="1"/>
  <c r="N69" i="28"/>
  <c r="D57" i="28"/>
  <c r="D59" i="28" s="1"/>
  <c r="N70" i="28"/>
  <c r="N65" i="28"/>
  <c r="C57" i="28"/>
  <c r="C59" i="28" s="1"/>
  <c r="N56" i="28"/>
  <c r="O38" i="25" l="1"/>
  <c r="O5" i="25"/>
  <c r="O49" i="25"/>
  <c r="O14" i="25"/>
  <c r="O23" i="25"/>
  <c r="O26" i="25"/>
  <c r="O33" i="25"/>
  <c r="O46" i="25"/>
  <c r="O8" i="25"/>
  <c r="O17" i="25"/>
  <c r="O27" i="5"/>
  <c r="O18" i="27"/>
  <c r="O25" i="27"/>
  <c r="O13" i="27"/>
  <c r="O8" i="27"/>
  <c r="O40" i="27"/>
  <c r="O29" i="27"/>
  <c r="O30" i="27"/>
  <c r="N28" i="16"/>
  <c r="O13" i="16" s="1"/>
  <c r="N28" i="6"/>
  <c r="O13" i="6" s="1"/>
  <c r="O6" i="27"/>
  <c r="O10" i="27"/>
  <c r="O11" i="27"/>
  <c r="O47" i="27"/>
  <c r="O22" i="27"/>
  <c r="O20" i="5"/>
  <c r="O4" i="5"/>
  <c r="O26" i="9"/>
  <c r="O11" i="9"/>
  <c r="O33" i="27"/>
  <c r="O55" i="27"/>
  <c r="O35" i="27"/>
  <c r="O51" i="27"/>
  <c r="O34" i="27"/>
  <c r="O7" i="27"/>
  <c r="O30" i="21"/>
  <c r="O23" i="28"/>
  <c r="O7" i="5"/>
  <c r="O26" i="27"/>
  <c r="O38" i="27"/>
  <c r="O37" i="27"/>
  <c r="O46" i="27"/>
  <c r="O56" i="27"/>
  <c r="O16" i="27"/>
  <c r="O9" i="19"/>
  <c r="O36" i="19"/>
  <c r="O31" i="19"/>
  <c r="O22" i="19"/>
  <c r="O25" i="19"/>
  <c r="O11" i="19"/>
  <c r="O5" i="19"/>
  <c r="O20" i="19"/>
  <c r="O7" i="19"/>
  <c r="O21" i="19"/>
  <c r="O19" i="19"/>
  <c r="O24" i="19"/>
  <c r="O28" i="19"/>
  <c r="O16" i="19"/>
  <c r="O33" i="19"/>
  <c r="O13" i="19"/>
  <c r="O27" i="19"/>
  <c r="O15" i="19"/>
  <c r="O38" i="19" s="1"/>
  <c r="O37" i="21"/>
  <c r="O19" i="27"/>
  <c r="O4" i="27"/>
  <c r="O49" i="27"/>
  <c r="O53" i="27"/>
  <c r="O23" i="27"/>
  <c r="K60" i="25"/>
  <c r="N44" i="19"/>
  <c r="N46" i="19" s="1"/>
  <c r="O34" i="19"/>
  <c r="E2" i="26"/>
  <c r="N66" i="22"/>
  <c r="O21" i="9"/>
  <c r="O22" i="5"/>
  <c r="O5" i="5"/>
  <c r="O21" i="5"/>
  <c r="O9" i="5"/>
  <c r="O25" i="5"/>
  <c r="O17" i="5"/>
  <c r="O13" i="5"/>
  <c r="O14" i="5"/>
  <c r="O6" i="5"/>
  <c r="O12" i="5"/>
  <c r="O16" i="5"/>
  <c r="O10" i="5"/>
  <c r="O18" i="5"/>
  <c r="O8" i="5"/>
  <c r="N58" i="25"/>
  <c r="G2" i="26"/>
  <c r="F2" i="26"/>
  <c r="N58" i="23"/>
  <c r="N51" i="21"/>
  <c r="O15" i="7"/>
  <c r="O24" i="5"/>
  <c r="O25" i="9"/>
  <c r="O19" i="16"/>
  <c r="N28" i="10"/>
  <c r="O7" i="21"/>
  <c r="O11" i="21"/>
  <c r="O15" i="21"/>
  <c r="O20" i="21"/>
  <c r="O28" i="21"/>
  <c r="O41" i="21"/>
  <c r="O4" i="21"/>
  <c r="O8" i="21"/>
  <c r="O12" i="21"/>
  <c r="O17" i="21"/>
  <c r="O21" i="21"/>
  <c r="O25" i="21"/>
  <c r="O34" i="21"/>
  <c r="O38" i="21"/>
  <c r="O42" i="21"/>
  <c r="O14" i="21"/>
  <c r="O19" i="21"/>
  <c r="O23" i="21"/>
  <c r="O27" i="21"/>
  <c r="O32" i="21"/>
  <c r="O36" i="21"/>
  <c r="O40" i="21"/>
  <c r="O44" i="21"/>
  <c r="O13" i="21"/>
  <c r="O31" i="21"/>
  <c r="O18" i="21"/>
  <c r="O35" i="21"/>
  <c r="O5" i="21"/>
  <c r="O22" i="21"/>
  <c r="O39" i="21"/>
  <c r="O9" i="21"/>
  <c r="O26" i="21"/>
  <c r="O43" i="21"/>
  <c r="O19" i="7"/>
  <c r="N28" i="11"/>
  <c r="O18" i="28"/>
  <c r="O8" i="28"/>
  <c r="O7" i="16"/>
  <c r="O26" i="16"/>
  <c r="O16" i="9"/>
  <c r="O7" i="9"/>
  <c r="O14" i="9"/>
  <c r="O23" i="9"/>
  <c r="O9" i="9"/>
  <c r="O11" i="7"/>
  <c r="O9" i="25"/>
  <c r="O19" i="25"/>
  <c r="O37" i="25"/>
  <c r="O45" i="25"/>
  <c r="O4" i="25"/>
  <c r="O13" i="25"/>
  <c r="O20" i="25"/>
  <c r="O28" i="25"/>
  <c r="O41" i="25"/>
  <c r="O50" i="25"/>
  <c r="O30" i="25"/>
  <c r="O34" i="25"/>
  <c r="O42" i="25"/>
  <c r="O7" i="25"/>
  <c r="O31" i="25"/>
  <c r="O43" i="25"/>
  <c r="O11" i="25"/>
  <c r="O25" i="25"/>
  <c r="O44" i="25"/>
  <c r="O12" i="25"/>
  <c r="O24" i="25"/>
  <c r="O48" i="25"/>
  <c r="O15" i="25"/>
  <c r="O29" i="25"/>
  <c r="O47" i="25"/>
  <c r="O10" i="25"/>
  <c r="O18" i="25"/>
  <c r="O16" i="25"/>
  <c r="O35" i="25"/>
  <c r="O52" i="25"/>
  <c r="O21" i="25"/>
  <c r="O36" i="25"/>
  <c r="O51" i="25"/>
  <c r="O32" i="25"/>
  <c r="O6" i="25"/>
  <c r="O27" i="25"/>
  <c r="O22" i="25"/>
  <c r="O40" i="25"/>
  <c r="O39" i="25"/>
  <c r="O10" i="21"/>
  <c r="O33" i="21"/>
  <c r="O16" i="21"/>
  <c r="O23" i="7"/>
  <c r="O13" i="17"/>
  <c r="O10" i="17"/>
  <c r="O5" i="17"/>
  <c r="O15" i="17"/>
  <c r="O23" i="17"/>
  <c r="O18" i="17"/>
  <c r="O24" i="17"/>
  <c r="O4" i="17"/>
  <c r="O8" i="17"/>
  <c r="O7" i="17"/>
  <c r="O17" i="17"/>
  <c r="O25" i="17"/>
  <c r="O22" i="17"/>
  <c r="O12" i="17"/>
  <c r="O11" i="17"/>
  <c r="O14" i="17"/>
  <c r="O20" i="17"/>
  <c r="O6" i="17"/>
  <c r="O19" i="17"/>
  <c r="O26" i="17"/>
  <c r="O9" i="17"/>
  <c r="O27" i="17"/>
  <c r="O21" i="17"/>
  <c r="O16" i="17"/>
  <c r="O13" i="9"/>
  <c r="O17" i="22"/>
  <c r="O12" i="22"/>
  <c r="O21" i="22"/>
  <c r="O29" i="22"/>
  <c r="O37" i="22"/>
  <c r="O8" i="22"/>
  <c r="O16" i="22"/>
  <c r="O25" i="22"/>
  <c r="O33" i="22"/>
  <c r="O50" i="22"/>
  <c r="O10" i="22"/>
  <c r="O27" i="22"/>
  <c r="O44" i="22"/>
  <c r="O54" i="22"/>
  <c r="O5" i="22"/>
  <c r="O13" i="22"/>
  <c r="O22" i="22"/>
  <c r="O30" i="22"/>
  <c r="O38" i="22"/>
  <c r="O47" i="22"/>
  <c r="O55" i="22"/>
  <c r="O14" i="22"/>
  <c r="O31" i="22"/>
  <c r="O46" i="22"/>
  <c r="O56" i="22"/>
  <c r="O7" i="22"/>
  <c r="O15" i="22"/>
  <c r="O24" i="22"/>
  <c r="O32" i="22"/>
  <c r="O41" i="22"/>
  <c r="O49" i="22"/>
  <c r="O57" i="22"/>
  <c r="O19" i="22"/>
  <c r="O35" i="22"/>
  <c r="O48" i="22"/>
  <c r="O58" i="22"/>
  <c r="O9" i="22"/>
  <c r="O18" i="22"/>
  <c r="O26" i="22"/>
  <c r="O34" i="22"/>
  <c r="O43" i="22"/>
  <c r="O51" i="22"/>
  <c r="O59" i="22"/>
  <c r="O20" i="22"/>
  <c r="O52" i="22"/>
  <c r="O28" i="22"/>
  <c r="O4" i="22"/>
  <c r="O40" i="22"/>
  <c r="O6" i="22"/>
  <c r="O60" i="22"/>
  <c r="O36" i="22"/>
  <c r="O23" i="22"/>
  <c r="O11" i="22"/>
  <c r="O45" i="22"/>
  <c r="O53" i="22"/>
  <c r="N44" i="20"/>
  <c r="O26" i="20" s="1"/>
  <c r="N48" i="20"/>
  <c r="O7" i="18"/>
  <c r="O11" i="18"/>
  <c r="O15" i="18"/>
  <c r="O19" i="18"/>
  <c r="O23" i="18"/>
  <c r="O27" i="18"/>
  <c r="O6" i="18"/>
  <c r="O10" i="18"/>
  <c r="O14" i="18"/>
  <c r="O18" i="18"/>
  <c r="O22" i="18"/>
  <c r="O26" i="18"/>
  <c r="O5" i="18"/>
  <c r="O9" i="18"/>
  <c r="O13" i="18"/>
  <c r="O17" i="18"/>
  <c r="O21" i="18"/>
  <c r="O25" i="18"/>
  <c r="O4" i="18"/>
  <c r="O8" i="18"/>
  <c r="O12" i="18"/>
  <c r="O16" i="18"/>
  <c r="O20" i="18"/>
  <c r="O24" i="18"/>
  <c r="O28" i="18"/>
  <c r="N60" i="27"/>
  <c r="O9" i="27"/>
  <c r="O28" i="5"/>
  <c r="O14" i="8"/>
  <c r="O4" i="8"/>
  <c r="O8" i="8"/>
  <c r="O12" i="8"/>
  <c r="O18" i="8"/>
  <c r="O22" i="8"/>
  <c r="O5" i="8"/>
  <c r="O9" i="8"/>
  <c r="O15" i="8"/>
  <c r="O19" i="8"/>
  <c r="O24" i="8"/>
  <c r="O10" i="8"/>
  <c r="O20" i="8"/>
  <c r="O7" i="8"/>
  <c r="O17" i="8"/>
  <c r="O23" i="8"/>
  <c r="O27" i="8"/>
  <c r="O6" i="8"/>
  <c r="O16" i="8"/>
  <c r="O26" i="8"/>
  <c r="O11" i="8"/>
  <c r="O21" i="8"/>
  <c r="O25" i="8"/>
  <c r="O28" i="9"/>
  <c r="O25" i="28"/>
  <c r="O19" i="28"/>
  <c r="O20" i="28"/>
  <c r="O16" i="28"/>
  <c r="O12" i="28"/>
  <c r="O26" i="28"/>
  <c r="O21" i="28"/>
  <c r="O17" i="28"/>
  <c r="O24" i="28"/>
  <c r="O22" i="28"/>
  <c r="O14" i="28"/>
  <c r="O9" i="28"/>
  <c r="O43" i="28"/>
  <c r="O38" i="28"/>
  <c r="O7" i="28"/>
  <c r="O28" i="28"/>
  <c r="O13" i="28"/>
  <c r="O15" i="28"/>
  <c r="O51" i="28"/>
  <c r="O47" i="28"/>
  <c r="O37" i="28"/>
  <c r="O42" i="28"/>
  <c r="O11" i="28"/>
  <c r="O10" i="28"/>
  <c r="O31" i="28"/>
  <c r="O39" i="28"/>
  <c r="O35" i="28"/>
  <c r="O30" i="28"/>
  <c r="O34" i="28"/>
  <c r="O4" i="28"/>
  <c r="O45" i="28"/>
  <c r="O36" i="28"/>
  <c r="O50" i="28"/>
  <c r="O46" i="28"/>
  <c r="O29" i="28"/>
  <c r="O33" i="28"/>
  <c r="O41" i="28"/>
  <c r="O49" i="28"/>
  <c r="O32" i="28"/>
  <c r="O44" i="28"/>
  <c r="O40" i="28"/>
  <c r="O48" i="28"/>
  <c r="N57" i="28"/>
  <c r="O24" i="16" l="1"/>
  <c r="O23" i="16"/>
  <c r="O17" i="16"/>
  <c r="O11" i="6"/>
  <c r="O17" i="6"/>
  <c r="O20" i="6"/>
  <c r="O26" i="6"/>
  <c r="O12" i="6"/>
  <c r="O5" i="6"/>
  <c r="O18" i="6"/>
  <c r="O6" i="6"/>
  <c r="O23" i="6"/>
  <c r="O27" i="6"/>
  <c r="O21" i="6"/>
  <c r="O7" i="6"/>
  <c r="O9" i="6"/>
  <c r="O15" i="6"/>
  <c r="O4" i="6"/>
  <c r="O25" i="6"/>
  <c r="O14" i="6"/>
  <c r="O22" i="6"/>
  <c r="O10" i="6"/>
  <c r="O19" i="6"/>
  <c r="O8" i="6"/>
  <c r="O24" i="6"/>
  <c r="O16" i="6"/>
  <c r="O27" i="16"/>
  <c r="O20" i="16"/>
  <c r="O15" i="16"/>
  <c r="O12" i="16"/>
  <c r="O8" i="16"/>
  <c r="O11" i="16"/>
  <c r="O22" i="16"/>
  <c r="O5" i="16"/>
  <c r="O6" i="16"/>
  <c r="O18" i="16"/>
  <c r="O9" i="16"/>
  <c r="O21" i="16"/>
  <c r="O4" i="16"/>
  <c r="O16" i="16"/>
  <c r="O25" i="16"/>
  <c r="O10" i="16"/>
  <c r="O14" i="16"/>
  <c r="O28" i="7"/>
  <c r="O28" i="17"/>
  <c r="O9" i="11"/>
  <c r="O11" i="11"/>
  <c r="O27" i="11"/>
  <c r="O4" i="11"/>
  <c r="O7" i="11"/>
  <c r="O8" i="11"/>
  <c r="O25" i="11"/>
  <c r="O15" i="11"/>
  <c r="O6" i="11"/>
  <c r="O12" i="11"/>
  <c r="O10" i="11"/>
  <c r="O16" i="11"/>
  <c r="O23" i="11"/>
  <c r="O24" i="11"/>
  <c r="O21" i="11"/>
  <c r="O19" i="11"/>
  <c r="O14" i="11"/>
  <c r="O22" i="11"/>
  <c r="O18" i="11"/>
  <c r="O26" i="11"/>
  <c r="O20" i="11"/>
  <c r="O17" i="11"/>
  <c r="O5" i="11"/>
  <c r="O11" i="10"/>
  <c r="O21" i="10"/>
  <c r="O10" i="10"/>
  <c r="O16" i="10"/>
  <c r="O26" i="10"/>
  <c r="O5" i="10"/>
  <c r="O23" i="10"/>
  <c r="O8" i="10"/>
  <c r="O15" i="10"/>
  <c r="O6" i="10"/>
  <c r="O22" i="10"/>
  <c r="O7" i="10"/>
  <c r="O25" i="10"/>
  <c r="O4" i="10"/>
  <c r="O20" i="10"/>
  <c r="O9" i="10"/>
  <c r="O27" i="10"/>
  <c r="O12" i="10"/>
  <c r="O17" i="10"/>
  <c r="O24" i="10"/>
  <c r="O18" i="10"/>
  <c r="O19" i="10"/>
  <c r="O14" i="10"/>
  <c r="O45" i="21"/>
  <c r="O13" i="10"/>
  <c r="O13" i="11"/>
  <c r="N62" i="27"/>
  <c r="H2" i="26"/>
  <c r="O31" i="18"/>
  <c r="O43" i="20"/>
  <c r="O24" i="20"/>
  <c r="O6" i="20"/>
  <c r="O11" i="20"/>
  <c r="O16" i="20"/>
  <c r="O20" i="20"/>
  <c r="O32" i="20"/>
  <c r="O36" i="20"/>
  <c r="O40" i="20"/>
  <c r="O29" i="20"/>
  <c r="O7" i="20"/>
  <c r="O12" i="20"/>
  <c r="O17" i="20"/>
  <c r="O25" i="20"/>
  <c r="O30" i="20"/>
  <c r="O35" i="20"/>
  <c r="O39" i="20"/>
  <c r="O21" i="20"/>
  <c r="O10" i="20"/>
  <c r="O22" i="20"/>
  <c r="O4" i="20"/>
  <c r="O8" i="20"/>
  <c r="O13" i="20"/>
  <c r="O18" i="20"/>
  <c r="O23" i="20"/>
  <c r="O28" i="20"/>
  <c r="O34" i="20"/>
  <c r="O38" i="20"/>
  <c r="O42" i="20"/>
  <c r="O5" i="20"/>
  <c r="O9" i="20"/>
  <c r="O14" i="20"/>
  <c r="O19" i="20"/>
  <c r="O27" i="20"/>
  <c r="O33" i="20"/>
  <c r="O37" i="20"/>
  <c r="O41" i="20"/>
  <c r="O15" i="20"/>
  <c r="O31" i="20"/>
  <c r="O28" i="8"/>
  <c r="C2" i="26"/>
  <c r="N50" i="20"/>
  <c r="O28" i="6" l="1"/>
  <c r="O28" i="16"/>
  <c r="O28" i="10"/>
  <c r="O28" i="11"/>
  <c r="O4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Christine Lyons</author>
  </authors>
  <commentList>
    <comment ref="I4" authorId="0" shapeId="0" xr:uid="{E397FE67-2A1D-459B-A5D2-21166276E266}">
      <text>
        <r>
          <rPr>
            <sz val="9"/>
            <color indexed="81"/>
            <rFont val="Tahoma"/>
            <family val="2"/>
          </rPr>
          <t>New fare category</t>
        </r>
      </text>
    </comment>
    <comment ref="I5" authorId="0" shapeId="0" xr:uid="{26BA5B26-9CEB-4125-A9E0-4C32B02A77A8}">
      <text>
        <r>
          <rPr>
            <sz val="9"/>
            <color indexed="81"/>
            <rFont val="Tahoma"/>
            <family val="2"/>
          </rPr>
          <t>New fare category</t>
        </r>
      </text>
    </comment>
    <comment ref="I6" authorId="0" shapeId="0" xr:uid="{088D05C2-CCD4-461C-84FA-D46862BD7B2C}">
      <text>
        <r>
          <rPr>
            <sz val="9"/>
            <color indexed="81"/>
            <rFont val="Tahoma"/>
            <family val="2"/>
          </rPr>
          <t>New fare category</t>
        </r>
      </text>
    </comment>
    <comment ref="I7" authorId="0" shapeId="0" xr:uid="{3B42151D-8095-49F9-A809-A52E42311110}">
      <text>
        <r>
          <rPr>
            <sz val="9"/>
            <color indexed="81"/>
            <rFont val="Tahoma"/>
            <family val="2"/>
          </rPr>
          <t>New fare category</t>
        </r>
      </text>
    </comment>
    <comment ref="I8" authorId="0" shapeId="0" xr:uid="{A78A5213-F12C-47FD-9D86-51D18F09B50F}">
      <text>
        <r>
          <rPr>
            <sz val="9"/>
            <color indexed="81"/>
            <rFont val="Tahoma"/>
            <family val="2"/>
          </rPr>
          <t>New fare category</t>
        </r>
      </text>
    </comment>
    <comment ref="I9" authorId="0" shapeId="0" xr:uid="{67AAE867-0B24-4939-8114-115B9F5816B6}">
      <text>
        <r>
          <rPr>
            <sz val="9"/>
            <color indexed="81"/>
            <rFont val="Tahoma"/>
            <family val="2"/>
          </rPr>
          <t>New fare category</t>
        </r>
      </text>
    </comment>
    <comment ref="I10" authorId="0" shapeId="0" xr:uid="{0EBDFECC-4D67-4612-950F-F49F3546B99C}">
      <text>
        <r>
          <rPr>
            <sz val="9"/>
            <color indexed="81"/>
            <rFont val="Tahoma"/>
            <family val="2"/>
          </rPr>
          <t>New fare category</t>
        </r>
      </text>
    </comment>
    <comment ref="I11" authorId="0" shapeId="0" xr:uid="{B960446F-F104-4F6F-802B-3A6EA47C1955}">
      <text>
        <r>
          <rPr>
            <sz val="9"/>
            <color indexed="81"/>
            <rFont val="Tahoma"/>
            <family val="2"/>
          </rPr>
          <t>New fare category</t>
        </r>
      </text>
    </comment>
    <comment ref="I12" authorId="0" shapeId="0" xr:uid="{9F0DA6AF-7362-43DB-8C59-C987AA358372}">
      <text>
        <r>
          <rPr>
            <sz val="9"/>
            <color indexed="81"/>
            <rFont val="Tahoma"/>
            <family val="2"/>
          </rPr>
          <t>New fare category</t>
        </r>
      </text>
    </comment>
    <comment ref="I13" authorId="0" shapeId="0" xr:uid="{2708544E-9AD4-4306-8EA5-60565056738E}">
      <text>
        <r>
          <rPr>
            <sz val="9"/>
            <color indexed="81"/>
            <rFont val="Tahoma"/>
            <charset val="1"/>
          </rPr>
          <t>Discontinued</t>
        </r>
      </text>
    </comment>
    <comment ref="I14" authorId="0" shapeId="0" xr:uid="{7D6B8380-9D68-450E-B71B-9AB15C1E3735}">
      <text>
        <r>
          <rPr>
            <sz val="9"/>
            <color indexed="81"/>
            <rFont val="Tahoma"/>
            <family val="2"/>
          </rPr>
          <t>Discontinued</t>
        </r>
      </text>
    </comment>
    <comment ref="I18" authorId="0" shapeId="0" xr:uid="{1B12381A-0878-4782-BBA5-4E1924200B03}">
      <text>
        <r>
          <rPr>
            <sz val="9"/>
            <color indexed="81"/>
            <rFont val="Tahoma"/>
            <family val="2"/>
          </rPr>
          <t>Discontinued</t>
        </r>
      </text>
    </comment>
    <comment ref="I28" authorId="0" shapeId="0" xr:uid="{842CAC74-3927-40DC-BDB6-C58E9E093F51}">
      <text>
        <r>
          <rPr>
            <sz val="9"/>
            <color indexed="81"/>
            <rFont val="Tahoma"/>
            <family val="2"/>
          </rPr>
          <t>Discontinued</t>
        </r>
      </text>
    </comment>
    <comment ref="I31" authorId="0" shapeId="0" xr:uid="{60AAA960-03EC-424C-BF67-FB0FE36FCF23}">
      <text>
        <r>
          <rPr>
            <sz val="9"/>
            <color indexed="81"/>
            <rFont val="Tahoma"/>
            <family val="2"/>
          </rPr>
          <t>Discontinued</t>
        </r>
      </text>
    </comment>
    <comment ref="I42" authorId="0" shapeId="0" xr:uid="{2B86C7DB-C057-4B7C-907C-171953833508}">
      <text>
        <r>
          <rPr>
            <sz val="9"/>
            <color indexed="81"/>
            <rFont val="Tahoma"/>
            <family val="2"/>
          </rPr>
          <t>Discontinued</t>
        </r>
      </text>
    </comment>
    <comment ref="I43" authorId="0" shapeId="0" xr:uid="{C76C21AB-C086-46A8-98A6-252EF409F6A6}">
      <text>
        <r>
          <rPr>
            <sz val="9"/>
            <color indexed="81"/>
            <rFont val="Tahoma"/>
            <family val="2"/>
          </rPr>
          <t>Discontinued</t>
        </r>
      </text>
    </comment>
    <comment ref="I44" authorId="0" shapeId="0" xr:uid="{B5EE3162-E969-4109-A402-1441C126CEB9}">
      <text>
        <r>
          <rPr>
            <sz val="9"/>
            <color indexed="81"/>
            <rFont val="Tahoma"/>
            <family val="2"/>
          </rPr>
          <t>Discontinued</t>
        </r>
      </text>
    </comment>
    <comment ref="I47" authorId="0" shapeId="0" xr:uid="{C4CA3809-720C-47B9-9726-ACE1B5700DC2}">
      <text>
        <r>
          <rPr>
            <sz val="9"/>
            <color indexed="81"/>
            <rFont val="Tahoma"/>
            <family val="2"/>
          </rPr>
          <t>Discontinued</t>
        </r>
      </text>
    </comment>
    <comment ref="I48" authorId="0" shapeId="0" xr:uid="{A6FAC480-F4D3-481D-AAC2-AB2F294122BD}">
      <text>
        <r>
          <rPr>
            <sz val="9"/>
            <color indexed="81"/>
            <rFont val="Tahoma"/>
            <family val="2"/>
          </rPr>
          <t>Discontinued</t>
        </r>
      </text>
    </comment>
    <comment ref="I51" authorId="0" shapeId="0" xr:uid="{386AEAC9-AE9B-4565-B46C-6DA7045B46C2}">
      <text>
        <r>
          <rPr>
            <sz val="9"/>
            <color indexed="81"/>
            <rFont val="Tahoma"/>
            <family val="2"/>
          </rPr>
          <t>Discontinued</t>
        </r>
      </text>
    </comment>
    <comment ref="I52" authorId="0" shapeId="0" xr:uid="{06307993-F27C-4DD9-B87D-38B44147EB3C}">
      <text>
        <r>
          <rPr>
            <sz val="9"/>
            <color indexed="81"/>
            <rFont val="Tahoma"/>
            <family val="2"/>
          </rPr>
          <t>Discontinued</t>
        </r>
      </text>
    </comment>
    <comment ref="I55" authorId="0" shapeId="0" xr:uid="{5FB233C2-B49D-4804-B158-AC358AAE021C}">
      <text>
        <r>
          <rPr>
            <sz val="9"/>
            <color indexed="81"/>
            <rFont val="Tahoma"/>
            <family val="2"/>
          </rPr>
          <t>Discontinued</t>
        </r>
      </text>
    </comment>
    <comment ref="I56" authorId="0" shapeId="0" xr:uid="{653D4C65-1BEB-4524-B981-A74B011B7305}">
      <text>
        <r>
          <rPr>
            <sz val="9"/>
            <color indexed="81"/>
            <rFont val="Tahoma"/>
            <family val="2"/>
          </rPr>
          <t>Discontinued</t>
        </r>
      </text>
    </comment>
    <comment ref="I59" authorId="0" shapeId="0" xr:uid="{D311A54B-F245-445E-9D00-3D20F58DE2C4}">
      <text>
        <r>
          <rPr>
            <sz val="9"/>
            <color indexed="81"/>
            <rFont val="Tahoma"/>
            <family val="2"/>
          </rPr>
          <t>Discontinued</t>
        </r>
      </text>
    </comment>
    <comment ref="I60" authorId="0" shapeId="0" xr:uid="{863A1765-9731-402B-A93F-26E1872A1B32}">
      <text>
        <r>
          <rPr>
            <sz val="9"/>
            <color indexed="81"/>
            <rFont val="Tahoma"/>
            <family val="2"/>
          </rPr>
          <t>Discontinued</t>
        </r>
      </text>
    </comment>
    <comment ref="I61" authorId="0" shapeId="0" xr:uid="{CD6A57EE-2CFD-41C4-B621-6A500175DBB4}">
      <text>
        <r>
          <rPr>
            <sz val="9"/>
            <color indexed="81"/>
            <rFont val="Tahoma"/>
            <family val="2"/>
          </rPr>
          <t>Discontinued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Tanya Wills - PWA</author>
  </authors>
  <commentList>
    <comment ref="L18" authorId="0" shapeId="0" xr:uid="{4C97CA6A-5F4F-46C2-845D-9C69F5CE6842}">
      <text>
        <r>
          <rPr>
            <b/>
            <sz val="9"/>
            <color indexed="81"/>
            <rFont val="Tahoma"/>
            <family val="2"/>
          </rPr>
          <t>Tanya Wills - PWA:</t>
        </r>
        <r>
          <rPr>
            <sz val="9"/>
            <color indexed="81"/>
            <rFont val="Tahoma"/>
            <family val="2"/>
          </rPr>
          <t xml:space="preserve">
extended run-$120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Tanya Wills - PWA</author>
  </authors>
  <commentList>
    <comment ref="L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Tanya Wills - PWA:</t>
        </r>
        <r>
          <rPr>
            <sz val="9"/>
            <color indexed="81"/>
            <rFont val="Tahoma"/>
            <family val="2"/>
          </rPr>
          <t xml:space="preserve">
extended run-$120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Tanya Wills - PWA</author>
  </authors>
  <commentList>
    <comment ref="L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Tanya Wills - PWA:</t>
        </r>
        <r>
          <rPr>
            <sz val="9"/>
            <color indexed="81"/>
            <rFont val="Tahoma"/>
            <family val="2"/>
          </rPr>
          <t xml:space="preserve">
extended run-$120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Tanya Wills - PWA</author>
  </authors>
  <commentList>
    <comment ref="L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Tanya Wills - PWA:</t>
        </r>
        <r>
          <rPr>
            <sz val="9"/>
            <color indexed="81"/>
            <rFont val="Tahoma"/>
            <family val="2"/>
          </rPr>
          <t xml:space="preserve">
extended run-$120</t>
        </r>
      </text>
    </comment>
  </commentList>
</comments>
</file>

<file path=xl/sharedStrings.xml><?xml version="1.0" encoding="utf-8"?>
<sst xmlns="http://schemas.openxmlformats.org/spreadsheetml/2006/main" count="2043" uniqueCount="257">
  <si>
    <t>FERRY REVENUE 1997</t>
  </si>
  <si>
    <t>13 C &amp; D TICKET</t>
  </si>
  <si>
    <t>25 C &amp; D TICKET</t>
  </si>
  <si>
    <t>ADULT COMM TICKET</t>
  </si>
  <si>
    <t>ADULT PASSENGER</t>
  </si>
  <si>
    <t>CHILD PASSENGER</t>
  </si>
  <si>
    <t>CAR &amp; DRIVER</t>
  </si>
  <si>
    <t>LOGGING TRUCK</t>
  </si>
  <si>
    <t>MISC SPECIALS</t>
  </si>
  <si>
    <t>MOTORCYCLE</t>
  </si>
  <si>
    <t>MONTHLY TRIP CHARGE</t>
  </si>
  <si>
    <t>OVERAGE</t>
  </si>
  <si>
    <t>SCHOOL CHILD</t>
  </si>
  <si>
    <t>SURCHARGE</t>
  </si>
  <si>
    <t>STUDENT COMMUTER</t>
  </si>
  <si>
    <t>TRAILER &lt; 12</t>
  </si>
  <si>
    <t>TRAILER 13 &lt; 20</t>
  </si>
  <si>
    <t>TRUCK 20 &lt; 25</t>
  </si>
  <si>
    <t>TRUCK 25 &lt; 30</t>
  </si>
  <si>
    <t>TRUCK 30 &lt; 35</t>
  </si>
  <si>
    <t>TRUCK 35 &lt; 45</t>
  </si>
  <si>
    <t>TRUCK 45 &lt; 55</t>
  </si>
  <si>
    <t>TRUCK 55 &lt; 65</t>
  </si>
  <si>
    <t>TRAILER OVER 20</t>
  </si>
  <si>
    <t>TRUCK OVER 65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</si>
  <si>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</si>
  <si>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</si>
  <si>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</si>
  <si>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</si>
  <si>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</si>
  <si>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</si>
  <si>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</si>
  <si>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</si>
  <si>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</si>
  <si>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</si>
  <si>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</si>
  <si>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</si>
  <si>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</si>
  <si>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</t>
  </si>
  <si>
    <t>FERRY REVENUE 1998</t>
  </si>
  <si>
    <t>FERRY REVENUE 1994</t>
  </si>
  <si>
    <t>STUDENT COMM TICKET</t>
  </si>
  <si>
    <t>TRAILER LESS 12 FT</t>
  </si>
  <si>
    <t>TRAILER 13-20 FT</t>
  </si>
  <si>
    <t>TRAILER OVER 20 FT</t>
  </si>
  <si>
    <t>TRUCK 20-24 FT</t>
  </si>
  <si>
    <t>TRUCK 25-29 FT</t>
  </si>
  <si>
    <t>TRUCK 30-34 FT</t>
  </si>
  <si>
    <t>TRUCK 35-44 FT</t>
  </si>
  <si>
    <t>TRUCK 45-54 FT</t>
  </si>
  <si>
    <t>TRUCK 55-64 FT</t>
  </si>
  <si>
    <t>TRUCK OVER 65 FT</t>
  </si>
  <si>
    <t>MONTHLY TRIP CHARGES</t>
  </si>
  <si>
    <t>SURCHARGE (MAY-SEPT)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</si>
  <si>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</si>
  <si>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</si>
  <si>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</si>
  <si>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</si>
  <si>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</si>
  <si>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</si>
  <si>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</si>
  <si>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</si>
  <si>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FERRY REVENUE 1995</t>
  </si>
  <si>
    <t>[FERREV92]</t>
  </si>
  <si>
    <t>CASH CAR &amp; DRIVER</t>
  </si>
  <si>
    <t>CASH, ADULT</t>
  </si>
  <si>
    <t xml:space="preserve">CASH, STUDENT-CHILD </t>
  </si>
  <si>
    <t xml:space="preserve">* MOTORHOME </t>
  </si>
  <si>
    <t>25 C&amp;D TICKET</t>
  </si>
  <si>
    <t xml:space="preserve">13 C&amp;D TICKET </t>
  </si>
  <si>
    <t>ADULT COMM. TICKET</t>
  </si>
  <si>
    <t>STUDENT COMM. TICKET</t>
  </si>
  <si>
    <t>* TRUCK UNDER 20 FT</t>
  </si>
  <si>
    <t>**TRUCK 24-33 FT</t>
  </si>
  <si>
    <t>TRAILER LESS 13 FT</t>
  </si>
  <si>
    <t>MISC/ SPECIALS</t>
  </si>
  <si>
    <t>* CATEGORY DELETED SEPT 92</t>
  </si>
  <si>
    <t>** CATEGORY REVISED SEPT 92</t>
  </si>
  <si>
    <t>* MOTORHOME</t>
  </si>
  <si>
    <t>*TRUCK UNDER 20 FT</t>
  </si>
  <si>
    <t>** TRUCK 24-33 FT</t>
  </si>
  <si>
    <t>TRIPS</t>
  </si>
  <si>
    <t>UNDER AGE 6</t>
  </si>
  <si>
    <t>SCHOOL CHILDREN</t>
  </si>
  <si>
    <t>REVENUE TYPE-$</t>
  </si>
  <si>
    <t>REVENUE TYPE -UNITS</t>
  </si>
  <si>
    <t xml:space="preserve">JULY </t>
  </si>
  <si>
    <t>SEPT</t>
  </si>
  <si>
    <t>[FERREV93]</t>
  </si>
  <si>
    <t xml:space="preserve">       JAN</t>
  </si>
  <si>
    <t xml:space="preserve">       FEB</t>
  </si>
  <si>
    <t xml:space="preserve">       MAR</t>
  </si>
  <si>
    <t xml:space="preserve">        APR</t>
  </si>
  <si>
    <t xml:space="preserve">        MAY</t>
  </si>
  <si>
    <t xml:space="preserve">        JUNE</t>
  </si>
  <si>
    <t xml:space="preserve">        JULY</t>
  </si>
  <si>
    <t xml:space="preserve">        AUG</t>
  </si>
  <si>
    <t xml:space="preserve">        SEPT</t>
  </si>
  <si>
    <t xml:space="preserve">        OCT</t>
  </si>
  <si>
    <t xml:space="preserve">        NOV</t>
  </si>
  <si>
    <t xml:space="preserve">          DEC</t>
  </si>
  <si>
    <t>FERRY REVENUE 1999</t>
  </si>
  <si>
    <t>FERRY REVENUE 2000</t>
  </si>
  <si>
    <t>FERRY REVENUE 1996</t>
  </si>
  <si>
    <t>FERRY REVENUE 2001</t>
  </si>
  <si>
    <t>FERRY REVENUE 2002</t>
  </si>
  <si>
    <t>FERRY REVENUE 2003</t>
  </si>
  <si>
    <t>10 C &amp; D TICKET</t>
  </si>
  <si>
    <t>10 TRIP MOTORCYCLE</t>
  </si>
  <si>
    <t>20 C &amp; D TICKET</t>
  </si>
  <si>
    <t>20 TRIP MOTORCYCLE</t>
  </si>
  <si>
    <t>ADULT COMMUTER</t>
  </si>
  <si>
    <t>BICYCLES</t>
  </si>
  <si>
    <t>C &amp; D - SUMMER</t>
  </si>
  <si>
    <t>MISC</t>
  </si>
  <si>
    <t>MOTORCYCLES</t>
  </si>
  <si>
    <t>SENIOR/DISABLED PASSENGER</t>
  </si>
  <si>
    <t>SENIOR/DISABLED VEHICLE-SUMMER</t>
  </si>
  <si>
    <t>TRUCKS &lt; 25</t>
  </si>
  <si>
    <t>TRUCKS &lt; 30</t>
  </si>
  <si>
    <t>TRUCKS &lt; 35</t>
  </si>
  <si>
    <t>TRUCKS &lt; 40</t>
  </si>
  <si>
    <t>TRUCKS &lt; 45</t>
  </si>
  <si>
    <t>TRUCKS &lt; 50</t>
  </si>
  <si>
    <t>TRUCKS &lt; 55</t>
  </si>
  <si>
    <t>TRUCKS &lt; 60</t>
  </si>
  <si>
    <t>TRUCKS &lt; 65</t>
  </si>
  <si>
    <t>Logging Truck</t>
  </si>
  <si>
    <t>Monthly Trip Charge</t>
  </si>
  <si>
    <t xml:space="preserve">C &amp; D - </t>
  </si>
  <si>
    <t>SENIOR/DISABLED VEHICLE-</t>
  </si>
  <si>
    <t>FERRY REVENUE 2005</t>
  </si>
  <si>
    <t>3 month C&amp;D</t>
  </si>
  <si>
    <t>3 month Communter</t>
  </si>
  <si>
    <t>3 month Senior/Disabled C&amp;D</t>
  </si>
  <si>
    <t>6 month C&amp;D</t>
  </si>
  <si>
    <t>6 month Commuter</t>
  </si>
  <si>
    <t>6 month Senior/Disabled C&amp;D</t>
  </si>
  <si>
    <t>Senior Annual Pass</t>
  </si>
  <si>
    <t>FERRY REVENUE 2006</t>
  </si>
  <si>
    <t>SENIOR/DISABLED/YOUTH W/BIKE</t>
  </si>
  <si>
    <t>TRIP TRIPS</t>
  </si>
  <si>
    <t>TRAILER &lt;12</t>
  </si>
  <si>
    <t>TOTAL REVENUE</t>
  </si>
  <si>
    <t>3 month Motorcycle</t>
  </si>
  <si>
    <t>6 month Motorcycle</t>
  </si>
  <si>
    <t>ADULT/BICYCLES</t>
  </si>
  <si>
    <t>MOTORCYCLE/TRAILER</t>
  </si>
  <si>
    <t>VEHICLES</t>
  </si>
  <si>
    <t>PASSENGERS</t>
  </si>
  <si>
    <t>3 month Commuter</t>
  </si>
  <si>
    <t>FERRY REVENUE 2007</t>
  </si>
  <si>
    <t>SENIOR/DISABLED MOTORCYCLE</t>
  </si>
  <si>
    <t>FERRY REVENUE 2008</t>
  </si>
  <si>
    <t>10 TRIP SENIOR C&amp;D</t>
  </si>
  <si>
    <t>20 TRIP SENIOR C&amp;D</t>
  </si>
  <si>
    <t>ADULT BICYCLE - SUMMER</t>
  </si>
  <si>
    <t>ADULT PASSENGER - SUMMER</t>
  </si>
  <si>
    <t>MOTORCYCLE - SUMMER</t>
  </si>
  <si>
    <t>SENIOR/DISABLED C&amp;D - SUMMER</t>
  </si>
  <si>
    <t>SENIOR/DISABLED C&amp;D</t>
  </si>
  <si>
    <t>S/D/Y PASSANGER - SUMMER</t>
  </si>
  <si>
    <t>S/D/Y BICYCLE - SUMMER</t>
  </si>
  <si>
    <t>TRUCKS &lt; 25 - SUMMER</t>
  </si>
  <si>
    <t>TRUCKS &lt; 30 - SUMMER</t>
  </si>
  <si>
    <t>TRUCKS &lt; 35 - SUMMER</t>
  </si>
  <si>
    <t>TRUCKS &lt; 40 - SUMMER</t>
  </si>
  <si>
    <t>TRUCKS &lt; 45 - SUMMER</t>
  </si>
  <si>
    <t>TRUCKS &lt; 50 - SUMMER</t>
  </si>
  <si>
    <t>TRUCKS &lt; 55 - SUMMER</t>
  </si>
  <si>
    <t>TRUCKS &lt; 60 - SUMMER</t>
  </si>
  <si>
    <t>TRUCKS &lt; 65 - SUMMER</t>
  </si>
  <si>
    <t>S / D MOTORCYCLE - SUMMER</t>
  </si>
  <si>
    <t>STOWAGE - SUMMER</t>
  </si>
  <si>
    <t>FERRY REVENUE 2009</t>
  </si>
  <si>
    <t>23 TRIP MOTORCYCLE</t>
  </si>
  <si>
    <t xml:space="preserve">23 TRIP C &amp; D </t>
  </si>
  <si>
    <t xml:space="preserve">10 TRIP C &amp; D </t>
  </si>
  <si>
    <t>23 TRIP ADULT COMMUTER</t>
  </si>
  <si>
    <t>C &amp; D - WINTER</t>
  </si>
  <si>
    <t>ADULT PASSENGER - WINTER</t>
  </si>
  <si>
    <t>SENIOR/DISABLED C&amp;D - WINTER</t>
  </si>
  <si>
    <t>S/D MOTORCYCLE - WINTER</t>
  </si>
  <si>
    <t>S/D/Y BICYCLE - WINTER</t>
  </si>
  <si>
    <t>ADULT BICYCLE - WINTER</t>
  </si>
  <si>
    <t>MOTORCYCLE - WINTER</t>
  </si>
  <si>
    <t>S/D MOTORCYCLE - SUMMER</t>
  </si>
  <si>
    <t>TRUCKS &lt; 25 - WINTER</t>
  </si>
  <si>
    <t>TRUCKS &lt; 30 - WINTER</t>
  </si>
  <si>
    <t>TRUCKS &lt; 35 - WINTER</t>
  </si>
  <si>
    <t>TRUCKS &lt; 40 - WINTER</t>
  </si>
  <si>
    <t>TRUCKS &lt; 45 - WINTER</t>
  </si>
  <si>
    <t>TRUCKS &lt; 50 - WINTER</t>
  </si>
  <si>
    <t>TRUCKS &lt; 55 - WINTER</t>
  </si>
  <si>
    <t>TRUCKS &lt; 60 - WINTER</t>
  </si>
  <si>
    <t>TRUCKS &lt; 65 - WINTER</t>
  </si>
  <si>
    <t>STOWAGE</t>
  </si>
  <si>
    <t>10 TRIP SENIOR MOTORCYCLE</t>
  </si>
  <si>
    <t>TRCH Monthly Trip Charge</t>
  </si>
  <si>
    <t>FERRY REVENUE 2004 - New Rates</t>
  </si>
  <si>
    <t>FERRY REVENUE 2004 - Old Rates</t>
  </si>
  <si>
    <t>FERRY REVENUE 2010</t>
  </si>
  <si>
    <t>Vehicle Revenue</t>
  </si>
  <si>
    <t>Passenger Revenue</t>
  </si>
  <si>
    <t># OF C&amp;D &amp; MTCY FREQ USER PASSES</t>
  </si>
  <si>
    <t># OF CASH C&amp;D TICKETS</t>
  </si>
  <si>
    <t># OF CASH MOTORCYCLE TICKETS</t>
  </si>
  <si>
    <t># OF OVERSIZE VEHICLE TICKETS</t>
  </si>
  <si>
    <t># OF PASSENGER FREQ USER PASSES</t>
  </si>
  <si>
    <t># OF CASH PASSENGER TICKETS</t>
  </si>
  <si>
    <t># OF BICYCLE TICKETS</t>
  </si>
  <si>
    <t>S/D/Y PASSENGER - SUMMER</t>
  </si>
  <si>
    <t>S/D/Y PASSENGER - WINTER</t>
  </si>
  <si>
    <t>FERRY REVENUE 2011</t>
  </si>
  <si>
    <t>20 TRIP C &amp; D</t>
  </si>
  <si>
    <t>20 TRIP SENIOR C &amp; D</t>
  </si>
  <si>
    <t>20 TRIP SENIOR MOTORCYCLE</t>
  </si>
  <si>
    <t>FERRY REVENUE 2012</t>
  </si>
  <si>
    <t>10 TRIP CONVENIENCE</t>
  </si>
  <si>
    <t>10 TRIP S/D CONVENIENCE</t>
  </si>
  <si>
    <t>FERRY REVENUE 2013</t>
  </si>
  <si>
    <t>FERRY REVENUE 2014</t>
  </si>
  <si>
    <t xml:space="preserve">10 TRIP S/D CONVENIENCE </t>
  </si>
  <si>
    <t xml:space="preserve">10 TRIP CONVENIENCE </t>
  </si>
  <si>
    <t>FERRY REVENUE 2015</t>
  </si>
  <si>
    <t>Miscellanous Revenue</t>
  </si>
  <si>
    <t>MISCELLANOUS REVENUE</t>
  </si>
  <si>
    <t>FERRY REVENUE 2016</t>
  </si>
  <si>
    <t>FERRY REVENUE 2017</t>
  </si>
  <si>
    <t>FERRY REVENUE 2018</t>
  </si>
  <si>
    <t>FERRY REVENUE 2019</t>
  </si>
  <si>
    <t>25 TRIP ADULT COMMUTER</t>
  </si>
  <si>
    <t>25 STUDENT COMMUTER</t>
  </si>
  <si>
    <t>FERRY REVENUE 2020</t>
  </si>
  <si>
    <t>25 STUDENT/SENIOR COMMUTER</t>
  </si>
  <si>
    <t>FERRY REVENUE 2021</t>
  </si>
  <si>
    <t>FERRY REVENUE 2022</t>
  </si>
  <si>
    <t>EXTENDED RUN</t>
  </si>
  <si>
    <t>FERRY REVENUE 2023</t>
  </si>
  <si>
    <t>5 TRIP DRIVER &amp; VEHICLE &lt; 30 - SUMMER</t>
  </si>
  <si>
    <t>20 TRIP SENIOR DRIVER &amp; CAR</t>
  </si>
  <si>
    <t>20 TRIP DRIVER &amp; CAR</t>
  </si>
  <si>
    <t xml:space="preserve">10 TRIP SENIOR/DISABLED CONVENIENCE </t>
  </si>
  <si>
    <t xml:space="preserve">10 TRIP DRIVER &amp; CAR CONVENIENCE </t>
  </si>
  <si>
    <t>DRIVER &amp; CAR - SUMMER</t>
  </si>
  <si>
    <t>DRIVER &amp; CAR - WINTER</t>
  </si>
  <si>
    <t>SENIOR/DISABLED DRIVER &amp; CAR - SUMMER</t>
  </si>
  <si>
    <t>SENIOR/DISABLED DRIVER &amp; CAR - WINTER</t>
  </si>
  <si>
    <t>5 TRIP DRIVER &amp; VEHICLE &lt; 30 - WINTER</t>
  </si>
  <si>
    <t>5 TRIP DRIVER &amp; VEHICLE &lt; 40 - SUMMER</t>
  </si>
  <si>
    <t>5 TRIP DRIVER &amp; VEHICLE &lt; 40 - WINTER</t>
  </si>
  <si>
    <t>5 TRIP DRIVER &amp; VEHICLE &lt; 50 - SUMMER</t>
  </si>
  <si>
    <t>5 TRIP DRIVER &amp; VEHICLE &lt; 50 - WINTER</t>
  </si>
  <si>
    <t>5 TRIP DRIVER &amp; VEHICLE &lt; 60 - SUMMER</t>
  </si>
  <si>
    <t>5 TRIP DRIVER &amp; VEHICLE &lt; 60 - WINTER</t>
  </si>
  <si>
    <t>5 TRIP SENIOR/DISABLED DRIVER &amp; CAR - NEEDS BASED</t>
  </si>
  <si>
    <t>New Rate Schedule as of 8/15/23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</si>
</sst>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</numFmts>
  <fonts count="29" x14ac:knownFonts="1">
    <font>
      <sz val="12"/>
      <name val="Courier"/>
    </font>
    <font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sz val="10"/>
      <color indexed="8"/>
      <name val="Comic Sans MS"/>
      <family val="4"/>
    </font>
    <font>
      <b/>
      <sz val="10"/>
      <color indexed="8"/>
      <name val="Comic Sans MS"/>
      <family val="4"/>
    </font>
    <font>
      <sz val="12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Courier"/>
      <family val="3"/>
    </font>
    <font>
      <sz val="12"/>
      <name val="Courier"/>
      <family val="3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5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7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7" fontId="6" fillId="0" borderId="0" xfId="0" applyNumberFormat="1" applyFont="1"/>
    <xf numFmtId="10" fontId="6" fillId="0" borderId="0" xfId="0" applyNumberFormat="1" applyFont="1"/>
    <xf numFmtId="7" fontId="6" fillId="0" borderId="0" xfId="0" applyNumberFormat="1" applyFont="1" applyProtection="1"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7" fontId="8" fillId="0" borderId="1" xfId="0" applyNumberFormat="1" applyFont="1" applyBorder="1"/>
    <xf numFmtId="10" fontId="8" fillId="0" borderId="1" xfId="0" applyNumberFormat="1" applyFont="1" applyBorder="1"/>
    <xf numFmtId="0" fontId="8" fillId="0" borderId="3" xfId="0" applyFont="1" applyBorder="1"/>
    <xf numFmtId="7" fontId="0" fillId="0" borderId="0" xfId="0" applyNumberFormat="1"/>
    <xf numFmtId="0" fontId="8" fillId="0" borderId="0" xfId="0" applyFont="1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 applyAlignment="1">
      <alignment horizontal="center"/>
    </xf>
    <xf numFmtId="7" fontId="3" fillId="0" borderId="0" xfId="0" applyNumberFormat="1" applyFont="1"/>
    <xf numFmtId="10" fontId="3" fillId="0" borderId="0" xfId="0" applyNumberFormat="1" applyFont="1"/>
    <xf numFmtId="7" fontId="3" fillId="0" borderId="0" xfId="0" applyNumberFormat="1" applyFont="1" applyProtection="1"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7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7" fontId="12" fillId="0" borderId="0" xfId="0" applyNumberFormat="1" applyFont="1"/>
    <xf numFmtId="10" fontId="12" fillId="0" borderId="0" xfId="0" applyNumberFormat="1" applyFont="1"/>
    <xf numFmtId="7" fontId="12" fillId="0" borderId="0" xfId="0" applyNumberFormat="1" applyFont="1" applyProtection="1">
      <protection locked="0"/>
    </xf>
    <xf numFmtId="0" fontId="11" fillId="0" borderId="0" xfId="0" applyFont="1" applyAlignment="1">
      <alignment horizontal="left"/>
    </xf>
    <xf numFmtId="7" fontId="5" fillId="0" borderId="0" xfId="0" applyNumberFormat="1" applyFont="1"/>
    <xf numFmtId="9" fontId="5" fillId="0" borderId="0" xfId="11" applyFont="1" applyBorder="1"/>
    <xf numFmtId="7" fontId="6" fillId="0" borderId="0" xfId="0" applyNumberFormat="1" applyFont="1" applyAlignment="1">
      <alignment horizontal="center"/>
    </xf>
    <xf numFmtId="0" fontId="6" fillId="0" borderId="4" xfId="0" applyFont="1" applyBorder="1" applyAlignment="1">
      <alignment vertical="center"/>
    </xf>
    <xf numFmtId="7" fontId="6" fillId="0" borderId="4" xfId="0" applyNumberFormat="1" applyFont="1" applyBorder="1"/>
    <xf numFmtId="10" fontId="6" fillId="0" borderId="4" xfId="0" applyNumberFormat="1" applyFont="1" applyBorder="1"/>
    <xf numFmtId="0" fontId="5" fillId="0" borderId="4" xfId="0" applyFont="1" applyBorder="1"/>
    <xf numFmtId="0" fontId="0" fillId="0" borderId="5" xfId="0" applyBorder="1"/>
    <xf numFmtId="7" fontId="5" fillId="0" borderId="5" xfId="0" applyNumberFormat="1" applyFont="1" applyBorder="1"/>
    <xf numFmtId="0" fontId="5" fillId="0" borderId="5" xfId="0" applyFont="1" applyBorder="1"/>
    <xf numFmtId="0" fontId="6" fillId="0" borderId="4" xfId="0" applyFont="1" applyBorder="1"/>
    <xf numFmtId="43" fontId="5" fillId="0" borderId="0" xfId="1" applyFont="1" applyBorder="1"/>
    <xf numFmtId="43" fontId="6" fillId="0" borderId="4" xfId="1" applyFont="1" applyFill="1" applyBorder="1" applyProtection="1">
      <protection locked="0"/>
    </xf>
    <xf numFmtId="43" fontId="6" fillId="0" borderId="4" xfId="1" applyFont="1" applyFill="1" applyBorder="1" applyProtection="1"/>
    <xf numFmtId="43" fontId="0" fillId="0" borderId="0" xfId="1" applyFont="1"/>
    <xf numFmtId="0" fontId="0" fillId="0" borderId="4" xfId="0" applyBorder="1"/>
    <xf numFmtId="43" fontId="5" fillId="0" borderId="0" xfId="1" applyFont="1"/>
    <xf numFmtId="43" fontId="15" fillId="0" borderId="0" xfId="1" applyFont="1"/>
    <xf numFmtId="0" fontId="16" fillId="0" borderId="0" xfId="0" applyFont="1"/>
    <xf numFmtId="0" fontId="17" fillId="0" borderId="0" xfId="0" applyFont="1"/>
    <xf numFmtId="4" fontId="17" fillId="0" borderId="0" xfId="0" applyNumberFormat="1" applyFont="1"/>
    <xf numFmtId="0" fontId="6" fillId="0" borderId="4" xfId="10" applyFont="1" applyBorder="1" applyAlignment="1">
      <alignment vertical="center"/>
    </xf>
    <xf numFmtId="44" fontId="6" fillId="0" borderId="6" xfId="2" applyFont="1" applyFill="1" applyBorder="1" applyAlignment="1" applyProtection="1">
      <alignment vertical="center"/>
    </xf>
    <xf numFmtId="43" fontId="16" fillId="0" borderId="0" xfId="0" applyNumberFormat="1" applyFont="1"/>
    <xf numFmtId="39" fontId="16" fillId="0" borderId="0" xfId="0" applyNumberFormat="1" applyFont="1"/>
    <xf numFmtId="7" fontId="6" fillId="0" borderId="6" xfId="2" applyNumberFormat="1" applyFont="1" applyFill="1" applyBorder="1" applyAlignment="1" applyProtection="1">
      <alignment vertic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7" fontId="20" fillId="0" borderId="0" xfId="0" applyNumberFormat="1" applyFont="1" applyAlignment="1">
      <alignment horizontal="center"/>
    </xf>
    <xf numFmtId="0" fontId="20" fillId="0" borderId="4" xfId="0" applyFont="1" applyBorder="1" applyAlignment="1">
      <alignment vertical="center"/>
    </xf>
    <xf numFmtId="7" fontId="20" fillId="0" borderId="4" xfId="0" applyNumberFormat="1" applyFont="1" applyBorder="1"/>
    <xf numFmtId="10" fontId="20" fillId="0" borderId="4" xfId="0" applyNumberFormat="1" applyFont="1" applyBorder="1"/>
    <xf numFmtId="0" fontId="18" fillId="0" borderId="4" xfId="0" applyFont="1" applyBorder="1"/>
    <xf numFmtId="43" fontId="20" fillId="0" borderId="4" xfId="1" applyFont="1" applyFill="1" applyBorder="1" applyProtection="1">
      <protection locked="0"/>
    </xf>
    <xf numFmtId="43" fontId="20" fillId="0" borderId="4" xfId="1" applyFont="1" applyFill="1" applyBorder="1" applyProtection="1"/>
    <xf numFmtId="7" fontId="19" fillId="0" borderId="0" xfId="0" applyNumberFormat="1" applyFont="1"/>
    <xf numFmtId="43" fontId="18" fillId="0" borderId="0" xfId="1" applyFont="1"/>
    <xf numFmtId="0" fontId="18" fillId="0" borderId="5" xfId="0" applyFont="1" applyBorder="1"/>
    <xf numFmtId="0" fontId="20" fillId="0" borderId="4" xfId="10" applyFont="1" applyBorder="1" applyAlignment="1">
      <alignment vertical="center"/>
    </xf>
    <xf numFmtId="44" fontId="20" fillId="0" borderId="6" xfId="2" applyFont="1" applyFill="1" applyBorder="1" applyAlignment="1" applyProtection="1">
      <alignment vertical="center"/>
    </xf>
    <xf numFmtId="44" fontId="18" fillId="0" borderId="0" xfId="0" applyNumberFormat="1" applyFont="1"/>
    <xf numFmtId="0" fontId="23" fillId="0" borderId="0" xfId="0" applyFont="1"/>
    <xf numFmtId="0" fontId="24" fillId="0" borderId="0" xfId="0" applyFont="1"/>
    <xf numFmtId="0" fontId="24" fillId="0" borderId="4" xfId="0" applyFont="1" applyBorder="1" applyAlignment="1">
      <alignment vertical="center"/>
    </xf>
    <xf numFmtId="10" fontId="24" fillId="0" borderId="4" xfId="0" applyNumberFormat="1" applyFont="1" applyBorder="1"/>
    <xf numFmtId="0" fontId="23" fillId="0" borderId="4" xfId="0" applyFont="1" applyBorder="1"/>
    <xf numFmtId="7" fontId="16" fillId="0" borderId="0" xfId="0" applyNumberFormat="1" applyFont="1"/>
    <xf numFmtId="10" fontId="24" fillId="0" borderId="0" xfId="0" applyNumberFormat="1" applyFont="1"/>
    <xf numFmtId="0" fontId="16" fillId="0" borderId="0" xfId="0" applyFont="1" applyAlignment="1">
      <alignment horizontal="left"/>
    </xf>
    <xf numFmtId="43" fontId="16" fillId="0" borderId="0" xfId="1" applyFont="1"/>
    <xf numFmtId="43" fontId="16" fillId="0" borderId="0" xfId="1" applyFont="1" applyBorder="1"/>
    <xf numFmtId="43" fontId="23" fillId="0" borderId="0" xfId="1" applyFont="1"/>
    <xf numFmtId="0" fontId="16" fillId="0" borderId="5" xfId="0" applyFont="1" applyBorder="1"/>
    <xf numFmtId="7" fontId="16" fillId="0" borderId="5" xfId="0" applyNumberFormat="1" applyFont="1" applyBorder="1"/>
    <xf numFmtId="0" fontId="23" fillId="0" borderId="5" xfId="0" applyFont="1" applyBorder="1"/>
    <xf numFmtId="0" fontId="24" fillId="0" borderId="4" xfId="10" applyFont="1" applyBorder="1" applyAlignment="1">
      <alignment vertical="center"/>
    </xf>
    <xf numFmtId="44" fontId="24" fillId="0" borderId="6" xfId="2" applyFont="1" applyFill="1" applyBorder="1" applyAlignment="1" applyProtection="1">
      <alignment vertical="center"/>
    </xf>
    <xf numFmtId="0" fontId="25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center"/>
    </xf>
    <xf numFmtId="7" fontId="26" fillId="0" borderId="0" xfId="0" applyNumberFormat="1" applyFont="1" applyAlignment="1">
      <alignment horizontal="center"/>
    </xf>
    <xf numFmtId="0" fontId="25" fillId="0" borderId="0" xfId="0" applyFont="1"/>
    <xf numFmtId="44" fontId="24" fillId="0" borderId="4" xfId="1" applyNumberFormat="1" applyFont="1" applyFill="1" applyBorder="1" applyProtection="1">
      <protection locked="0"/>
    </xf>
    <xf numFmtId="44" fontId="24" fillId="0" borderId="4" xfId="0" applyNumberFormat="1" applyFont="1" applyBorder="1"/>
    <xf numFmtId="44" fontId="24" fillId="0" borderId="4" xfId="1" applyNumberFormat="1" applyFont="1" applyFill="1" applyBorder="1" applyProtection="1"/>
    <xf numFmtId="44" fontId="16" fillId="0" borderId="0" xfId="0" applyNumberFormat="1" applyFont="1"/>
    <xf numFmtId="44" fontId="24" fillId="0" borderId="0" xfId="0" applyNumberFormat="1" applyFont="1"/>
    <xf numFmtId="44" fontId="16" fillId="0" borderId="0" xfId="0" quotePrefix="1" applyNumberFormat="1" applyFont="1"/>
    <xf numFmtId="0" fontId="27" fillId="0" borderId="0" xfId="0" applyFont="1"/>
    <xf numFmtId="0" fontId="24" fillId="0" borderId="4" xfId="0" applyFont="1" applyBorder="1"/>
    <xf numFmtId="7" fontId="24" fillId="0" borderId="4" xfId="0" applyNumberFormat="1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44" fontId="23" fillId="0" borderId="0" xfId="0" applyNumberFormat="1" applyFont="1"/>
    <xf numFmtId="0" fontId="23" fillId="0" borderId="0" xfId="0" applyFont="1" applyFill="1"/>
    <xf numFmtId="44" fontId="16" fillId="0" borderId="0" xfId="0" applyNumberFormat="1" applyFont="1" applyFill="1"/>
    <xf numFmtId="0" fontId="23" fillId="0" borderId="0" xfId="0" applyFont="1" applyFill="1" applyAlignment="1">
      <alignment horizontal="right"/>
    </xf>
    <xf numFmtId="0" fontId="16" fillId="0" borderId="0" xfId="0" applyFont="1" applyFill="1"/>
    <xf numFmtId="44" fontId="24" fillId="2" borderId="4" xfId="0" applyNumberFormat="1" applyFont="1" applyFill="1" applyBorder="1"/>
    <xf numFmtId="7" fontId="24" fillId="3" borderId="4" xfId="0" applyNumberFormat="1" applyFont="1" applyFill="1" applyBorder="1" applyAlignment="1">
      <alignment horizontal="right"/>
    </xf>
  </cellXfs>
  <cellStyles count="12">
    <cellStyle name="Comma" xfId="1" builtinId="3"/>
    <cellStyle name="Currency" xfId="2" builtinId="4"/>
    <cellStyle name="F2" xfId="3" xr:uid="{00000000-0005-0000-0000-000002000000}"/>
    <cellStyle name="F3" xfId="4" xr:uid="{00000000-0005-0000-0000-000003000000}"/>
    <cellStyle name="F4" xfId="5" xr:uid="{00000000-0005-0000-0000-000004000000}"/>
    <cellStyle name="F5" xfId="6" xr:uid="{00000000-0005-0000-0000-000005000000}"/>
    <cellStyle name="F6" xfId="7" xr:uid="{00000000-0005-0000-0000-000006000000}"/>
    <cellStyle name="F7" xfId="8" xr:uid="{00000000-0005-0000-0000-000007000000}"/>
    <cellStyle name="F8" xfId="9" xr:uid="{00000000-0005-0000-0000-000008000000}"/>
    <cellStyle name="Normal" xfId="0" builtinId="0"/>
    <cellStyle name="Normal_Ferry Sales" xfId="10" xr:uid="{00000000-0005-0000-0000-00000A000000}"/>
    <cellStyle name="Percent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75621470182791"/>
          <c:y val="8.0997131148787843E-2"/>
          <c:w val="0.51912660648374664"/>
          <c:h val="0.77881856873834432"/>
        </c:manualLayout>
      </c:layout>
      <c:lineChart>
        <c:grouping val="standard"/>
        <c:varyColors val="0"/>
        <c:ser>
          <c:idx val="0"/>
          <c:order val="0"/>
          <c:tx>
            <c:strRef>
              <c:f>'Chart2005-11'!$A$2</c:f>
              <c:strCache>
                <c:ptCount val="1"/>
                <c:pt idx="0">
                  <c:v>Vehicle Revenue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'Chart2005-11'!$B$1:$H$1</c:f>
              <c:numCache>
                <c:formatCode>General</c:formatCode>
                <c:ptCount val="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</c:numCache>
            </c:numRef>
          </c:cat>
          <c:val>
            <c:numRef>
              <c:f>'Chart2005-11'!$B$2:$H$2</c:f>
              <c:numCache>
                <c:formatCode>#,##0.00</c:formatCode>
                <c:ptCount val="7"/>
                <c:pt idx="0">
                  <c:v>374990.2</c:v>
                </c:pt>
                <c:pt idx="1">
                  <c:v>632184.1</c:v>
                </c:pt>
                <c:pt idx="2">
                  <c:v>622626.65</c:v>
                </c:pt>
                <c:pt idx="3">
                  <c:v>648187.4</c:v>
                </c:pt>
                <c:pt idx="4">
                  <c:v>701541.8</c:v>
                </c:pt>
                <c:pt idx="5">
                  <c:v>675247.6</c:v>
                </c:pt>
                <c:pt idx="6" formatCode="#,##0.00_);\(#,##0.00\)">
                  <c:v>611681.5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0-4821-B865-E27E1D75B1DB}"/>
            </c:ext>
          </c:extLst>
        </c:ser>
        <c:ser>
          <c:idx val="1"/>
          <c:order val="1"/>
          <c:tx>
            <c:strRef>
              <c:f>'Chart2005-11'!$A$3</c:f>
              <c:strCache>
                <c:ptCount val="1"/>
                <c:pt idx="0">
                  <c:v>Passenger Revenue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'Chart2005-11'!$B$1:$H$1</c:f>
              <c:numCache>
                <c:formatCode>General</c:formatCode>
                <c:ptCount val="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</c:numCache>
            </c:numRef>
          </c:cat>
          <c:val>
            <c:numRef>
              <c:f>'Chart2005-11'!$B$3:$H$3</c:f>
              <c:numCache>
                <c:formatCode>#,##0.00</c:formatCode>
                <c:ptCount val="7"/>
                <c:pt idx="0">
                  <c:v>101501.25</c:v>
                </c:pt>
                <c:pt idx="1">
                  <c:v>156325</c:v>
                </c:pt>
                <c:pt idx="2">
                  <c:v>158401</c:v>
                </c:pt>
                <c:pt idx="3">
                  <c:v>179038</c:v>
                </c:pt>
                <c:pt idx="4">
                  <c:v>186744</c:v>
                </c:pt>
                <c:pt idx="5">
                  <c:v>177971.5</c:v>
                </c:pt>
                <c:pt idx="6" formatCode="_(* #,##0.00_);_(* \(#,##0.00\);_(* &quot;-&quot;??_);_(@_)">
                  <c:v>180215.9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0-4821-B865-E27E1D75B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21856"/>
        <c:axId val="206523776"/>
      </c:lineChart>
      <c:catAx>
        <c:axId val="2065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2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52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52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9193714173706"/>
          <c:y val="0.40498573192369713"/>
          <c:w val="0.28051059191371575"/>
          <c:h val="0.133956713354755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4</xdr:row>
      <xdr:rowOff>142875</xdr:rowOff>
    </xdr:from>
    <xdr:to>
      <xdr:col>6</xdr:col>
      <xdr:colOff>533400</xdr:colOff>
      <xdr:row>20</xdr:row>
      <xdr:rowOff>152400</xdr:rowOff>
    </xdr:to>
    <xdr:graphicFrame macro="">
      <xdr:nvGraphicFramePr>
        <xdr:cNvPr id="1057" name="Chart 1">
          <a:extLst>
            <a:ext uri="{FF2B5EF4-FFF2-40B4-BE49-F238E27FC236}">
              <a16:creationId xmlns:a16="http://schemas.microsoft.com/office/drawing/2014/main" id="{00000000-0008-0000-1F00-00002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1E36-9474-43ED-813D-7DD75D63D483}">
  <dimension ref="A1:O85"/>
  <sheetViews>
    <sheetView tabSelected="1" workbookViewId="0">
      <pane xSplit="1" ySplit="3" topLeftCell="J49" activePane="bottomRight" state="frozen"/>
      <selection pane="topRight" activeCell="B1" sqref="B1"/>
      <selection pane="bottomLeft" activeCell="A4" sqref="A4"/>
      <selection pane="bottomRight" activeCell="L68" sqref="L68"/>
    </sheetView>
  </sheetViews>
  <sheetFormatPr defaultColWidth="8.33203125" defaultRowHeight="15" x14ac:dyDescent="0.25"/>
  <cols>
    <col min="1" max="1" width="39" style="83" customWidth="1"/>
    <col min="2" max="2" width="10.08203125" style="83" customWidth="1"/>
    <col min="3" max="3" width="9.75" style="83" customWidth="1"/>
    <col min="4" max="4" width="10.33203125" style="83" customWidth="1"/>
    <col min="5" max="5" width="9.9140625" style="83" customWidth="1"/>
    <col min="6" max="6" width="11" style="83" customWidth="1"/>
    <col min="7" max="8" width="10" style="83" customWidth="1"/>
    <col min="9" max="9" width="10.08203125" style="83" customWidth="1"/>
    <col min="10" max="10" width="10" style="83" customWidth="1"/>
    <col min="11" max="11" width="10.6640625" style="83" customWidth="1"/>
    <col min="12" max="12" width="10.08203125" style="83" customWidth="1"/>
    <col min="13" max="13" width="9.08203125" style="83" customWidth="1"/>
    <col min="14" max="14" width="11.9140625" style="83" customWidth="1"/>
    <col min="15" max="16384" width="8.33203125" style="83"/>
  </cols>
  <sheetData>
    <row r="1" spans="1:15" ht="15.6" x14ac:dyDescent="0.3">
      <c r="A1" s="99" t="s">
        <v>238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25">
      <c r="A2" s="57"/>
      <c r="B2" s="57"/>
      <c r="C2" s="57"/>
      <c r="D2" s="57"/>
      <c r="E2" s="57"/>
      <c r="F2" s="57"/>
      <c r="G2" s="57"/>
      <c r="H2" s="57"/>
      <c r="I2" s="110" t="s">
        <v>256</v>
      </c>
      <c r="J2" s="57"/>
      <c r="K2" s="57"/>
      <c r="L2" s="57"/>
      <c r="M2" s="57"/>
      <c r="N2" s="57"/>
      <c r="O2" s="57"/>
    </row>
    <row r="3" spans="1:15" s="103" customFormat="1" ht="15.6" x14ac:dyDescent="0.3">
      <c r="A3" s="100"/>
      <c r="B3" s="101" t="s">
        <v>26</v>
      </c>
      <c r="C3" s="101" t="s">
        <v>27</v>
      </c>
      <c r="D3" s="101" t="s">
        <v>28</v>
      </c>
      <c r="E3" s="101" t="s">
        <v>29</v>
      </c>
      <c r="F3" s="101" t="s">
        <v>30</v>
      </c>
      <c r="G3" s="101" t="s">
        <v>31</v>
      </c>
      <c r="H3" s="102" t="s">
        <v>32</v>
      </c>
      <c r="I3" s="102" t="s">
        <v>33</v>
      </c>
      <c r="J3" s="102" t="s">
        <v>34</v>
      </c>
      <c r="K3" s="102" t="s">
        <v>35</v>
      </c>
      <c r="L3" s="102" t="s">
        <v>36</v>
      </c>
      <c r="M3" s="101" t="s">
        <v>37</v>
      </c>
      <c r="N3" s="101" t="s">
        <v>25</v>
      </c>
      <c r="O3" s="101" t="s">
        <v>38</v>
      </c>
    </row>
    <row r="4" spans="1:15" s="87" customFormat="1" x14ac:dyDescent="0.25">
      <c r="A4" s="111" t="s">
        <v>239</v>
      </c>
      <c r="B4" s="119">
        <v>0</v>
      </c>
      <c r="C4" s="119">
        <v>0</v>
      </c>
      <c r="D4" s="119">
        <v>0</v>
      </c>
      <c r="E4" s="119">
        <v>0</v>
      </c>
      <c r="F4" s="119">
        <v>0</v>
      </c>
      <c r="G4" s="119">
        <v>0</v>
      </c>
      <c r="H4" s="119">
        <v>0</v>
      </c>
      <c r="I4" s="120">
        <v>3678.75</v>
      </c>
      <c r="J4" s="112">
        <v>2043.75</v>
      </c>
      <c r="K4" s="112">
        <v>3542.5</v>
      </c>
      <c r="L4" s="112">
        <v>136.25</v>
      </c>
      <c r="M4" s="113"/>
      <c r="N4" s="106">
        <f t="shared" ref="N4" si="0">SUM(B4:M4)</f>
        <v>9401.25</v>
      </c>
      <c r="O4" s="86">
        <f t="shared" ref="O4:O15" si="1">N4/$N$62</f>
        <v>6.7231872801394397E-3</v>
      </c>
    </row>
    <row r="5" spans="1:15" s="87" customFormat="1" x14ac:dyDescent="0.25">
      <c r="A5" s="111" t="s">
        <v>248</v>
      </c>
      <c r="B5" s="119">
        <v>0</v>
      </c>
      <c r="C5" s="119">
        <v>0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20">
        <v>0</v>
      </c>
      <c r="J5" s="112">
        <v>0</v>
      </c>
      <c r="K5" s="112">
        <v>752.5</v>
      </c>
      <c r="L5" s="112">
        <v>430</v>
      </c>
      <c r="M5" s="113"/>
      <c r="N5" s="106">
        <f t="shared" ref="N5:N12" si="2">SUM(B5:M5)</f>
        <v>1182.5</v>
      </c>
      <c r="O5" s="86">
        <f t="shared" si="1"/>
        <v>8.4565020170348484E-4</v>
      </c>
    </row>
    <row r="6" spans="1:15" s="87" customFormat="1" x14ac:dyDescent="0.25">
      <c r="A6" s="111" t="s">
        <v>249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20">
        <v>3120</v>
      </c>
      <c r="J6" s="112">
        <v>3120</v>
      </c>
      <c r="K6" s="112">
        <v>2080</v>
      </c>
      <c r="L6" s="112">
        <v>0</v>
      </c>
      <c r="M6" s="113"/>
      <c r="N6" s="106">
        <f t="shared" si="2"/>
        <v>8320</v>
      </c>
      <c r="O6" s="86">
        <f t="shared" si="1"/>
        <v>5.9499447595543296E-3</v>
      </c>
    </row>
    <row r="7" spans="1:15" s="87" customFormat="1" x14ac:dyDescent="0.25">
      <c r="A7" s="111" t="s">
        <v>250</v>
      </c>
      <c r="B7" s="119">
        <v>0</v>
      </c>
      <c r="C7" s="119">
        <v>0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120">
        <v>0</v>
      </c>
      <c r="J7" s="112">
        <v>0</v>
      </c>
      <c r="K7" s="112">
        <v>845</v>
      </c>
      <c r="L7" s="112">
        <v>422.5</v>
      </c>
      <c r="M7" s="113"/>
      <c r="N7" s="106">
        <f t="shared" si="2"/>
        <v>1267.5</v>
      </c>
      <c r="O7" s="86">
        <f t="shared" si="1"/>
        <v>9.0643689696335487E-4</v>
      </c>
    </row>
    <row r="8" spans="1:15" s="87" customFormat="1" x14ac:dyDescent="0.25">
      <c r="A8" s="111" t="s">
        <v>251</v>
      </c>
      <c r="B8" s="119">
        <v>0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20">
        <v>802.5</v>
      </c>
      <c r="J8" s="112">
        <v>401.25</v>
      </c>
      <c r="K8" s="112">
        <v>0</v>
      </c>
      <c r="L8" s="112">
        <v>0</v>
      </c>
      <c r="M8" s="113"/>
      <c r="N8" s="106">
        <f t="shared" si="2"/>
        <v>1203.75</v>
      </c>
      <c r="O8" s="86">
        <f t="shared" si="1"/>
        <v>8.6084687551845241E-4</v>
      </c>
    </row>
    <row r="9" spans="1:15" s="87" customFormat="1" x14ac:dyDescent="0.25">
      <c r="A9" s="111" t="s">
        <v>252</v>
      </c>
      <c r="B9" s="119">
        <v>0</v>
      </c>
      <c r="C9" s="119">
        <v>0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20">
        <v>0</v>
      </c>
      <c r="J9" s="112">
        <v>0</v>
      </c>
      <c r="K9" s="112">
        <v>630</v>
      </c>
      <c r="L9" s="112">
        <v>0</v>
      </c>
      <c r="M9" s="113"/>
      <c r="N9" s="106">
        <f t="shared" si="2"/>
        <v>630</v>
      </c>
      <c r="O9" s="86">
        <f t="shared" si="1"/>
        <v>4.5053668251433023E-4</v>
      </c>
    </row>
    <row r="10" spans="1:15" s="87" customFormat="1" x14ac:dyDescent="0.25">
      <c r="A10" s="111" t="s">
        <v>253</v>
      </c>
      <c r="B10" s="119">
        <v>0</v>
      </c>
      <c r="C10" s="119">
        <v>0</v>
      </c>
      <c r="D10" s="119">
        <v>0</v>
      </c>
      <c r="E10" s="119">
        <v>0</v>
      </c>
      <c r="F10" s="119">
        <v>0</v>
      </c>
      <c r="G10" s="119">
        <v>0</v>
      </c>
      <c r="H10" s="119">
        <v>0</v>
      </c>
      <c r="I10" s="120">
        <v>546.25</v>
      </c>
      <c r="J10" s="112">
        <v>0</v>
      </c>
      <c r="K10" s="112">
        <v>1092.5</v>
      </c>
      <c r="L10" s="112">
        <v>0</v>
      </c>
      <c r="M10" s="113"/>
      <c r="N10" s="106">
        <f t="shared" si="2"/>
        <v>1638.75</v>
      </c>
      <c r="O10" s="86">
        <f t="shared" si="1"/>
        <v>1.1719317277307281E-3</v>
      </c>
    </row>
    <row r="11" spans="1:15" s="87" customFormat="1" x14ac:dyDescent="0.25">
      <c r="A11" s="111" t="s">
        <v>254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20">
        <v>0</v>
      </c>
      <c r="J11" s="112">
        <v>0</v>
      </c>
      <c r="K11" s="112">
        <v>0</v>
      </c>
      <c r="L11" s="112">
        <v>0</v>
      </c>
      <c r="M11" s="113"/>
      <c r="N11" s="106">
        <f t="shared" si="2"/>
        <v>0</v>
      </c>
      <c r="O11" s="86">
        <f t="shared" si="1"/>
        <v>0</v>
      </c>
    </row>
    <row r="12" spans="1:15" s="87" customFormat="1" x14ac:dyDescent="0.25">
      <c r="A12" s="111" t="s">
        <v>255</v>
      </c>
      <c r="B12" s="119">
        <v>0</v>
      </c>
      <c r="C12" s="119"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20">
        <v>177</v>
      </c>
      <c r="J12" s="112">
        <v>0</v>
      </c>
      <c r="K12" s="112">
        <v>177</v>
      </c>
      <c r="L12" s="112">
        <v>132.75</v>
      </c>
      <c r="M12" s="113"/>
      <c r="N12" s="106">
        <f t="shared" si="2"/>
        <v>486.75</v>
      </c>
      <c r="O12" s="86">
        <f t="shared" si="1"/>
        <v>3.4809322256166702E-4</v>
      </c>
    </row>
    <row r="13" spans="1:15" s="87" customFormat="1" x14ac:dyDescent="0.25">
      <c r="A13" s="85" t="s">
        <v>243</v>
      </c>
      <c r="B13" s="104">
        <v>240</v>
      </c>
      <c r="C13" s="105">
        <v>3960</v>
      </c>
      <c r="D13" s="105">
        <v>2040</v>
      </c>
      <c r="E13" s="105">
        <v>1560</v>
      </c>
      <c r="F13" s="105">
        <v>2040</v>
      </c>
      <c r="G13" s="105">
        <v>3360</v>
      </c>
      <c r="H13" s="105">
        <v>2760</v>
      </c>
      <c r="I13" s="105">
        <v>9600</v>
      </c>
      <c r="J13" s="119">
        <v>0</v>
      </c>
      <c r="K13" s="119">
        <v>0</v>
      </c>
      <c r="L13" s="119">
        <v>0</v>
      </c>
      <c r="M13" s="119">
        <v>0</v>
      </c>
      <c r="N13" s="106">
        <f t="shared" ref="N13:N61" si="3">SUM(B13:M13)</f>
        <v>25560</v>
      </c>
      <c r="O13" s="86">
        <f t="shared" si="1"/>
        <v>1.827891683343854E-2</v>
      </c>
    </row>
    <row r="14" spans="1:15" s="87" customFormat="1" x14ac:dyDescent="0.25">
      <c r="A14" s="85" t="s">
        <v>242</v>
      </c>
      <c r="B14" s="105">
        <v>600</v>
      </c>
      <c r="C14" s="105">
        <v>1300</v>
      </c>
      <c r="D14" s="105">
        <v>2000</v>
      </c>
      <c r="E14" s="105">
        <v>2000</v>
      </c>
      <c r="F14" s="105">
        <v>2800</v>
      </c>
      <c r="G14" s="105">
        <v>3600</v>
      </c>
      <c r="H14" s="105">
        <v>2600</v>
      </c>
      <c r="I14" s="105">
        <v>6700</v>
      </c>
      <c r="J14" s="119">
        <v>0</v>
      </c>
      <c r="K14" s="119">
        <v>0</v>
      </c>
      <c r="L14" s="119">
        <v>0</v>
      </c>
      <c r="M14" s="119">
        <v>0</v>
      </c>
      <c r="N14" s="106">
        <f t="shared" si="3"/>
        <v>21600</v>
      </c>
      <c r="O14" s="86">
        <f t="shared" si="1"/>
        <v>1.5446971971919894E-2</v>
      </c>
    </row>
    <row r="15" spans="1:15" s="87" customFormat="1" x14ac:dyDescent="0.25">
      <c r="A15" s="85" t="s">
        <v>241</v>
      </c>
      <c r="B15" s="105">
        <v>19600</v>
      </c>
      <c r="C15" s="105">
        <v>14700</v>
      </c>
      <c r="D15" s="105">
        <v>9800</v>
      </c>
      <c r="E15" s="105">
        <v>19012</v>
      </c>
      <c r="F15" s="105">
        <v>22932</v>
      </c>
      <c r="G15" s="105">
        <v>19404</v>
      </c>
      <c r="H15" s="105">
        <v>20384</v>
      </c>
      <c r="I15" s="105">
        <f>22932+7309.5</f>
        <v>30241.5</v>
      </c>
      <c r="J15" s="105">
        <v>13733</v>
      </c>
      <c r="K15" s="105">
        <v>13954.5</v>
      </c>
      <c r="L15" s="105">
        <v>17720</v>
      </c>
      <c r="M15" s="105"/>
      <c r="N15" s="106">
        <f t="shared" si="3"/>
        <v>201481</v>
      </c>
      <c r="O15" s="86">
        <f t="shared" si="1"/>
        <v>0.14408663703122185</v>
      </c>
    </row>
    <row r="16" spans="1:15" s="87" customFormat="1" x14ac:dyDescent="0.25">
      <c r="A16" s="85" t="s">
        <v>110</v>
      </c>
      <c r="B16" s="104">
        <v>0</v>
      </c>
      <c r="C16" s="104">
        <v>0</v>
      </c>
      <c r="D16" s="104">
        <v>117</v>
      </c>
      <c r="E16" s="104">
        <v>117</v>
      </c>
      <c r="F16" s="104">
        <v>585</v>
      </c>
      <c r="G16" s="104">
        <v>234</v>
      </c>
      <c r="H16" s="104">
        <v>234</v>
      </c>
      <c r="I16" s="104">
        <v>702</v>
      </c>
      <c r="J16" s="104">
        <v>129.75</v>
      </c>
      <c r="K16" s="104">
        <v>129.75</v>
      </c>
      <c r="L16" s="104">
        <v>259.5</v>
      </c>
      <c r="M16" s="104"/>
      <c r="N16" s="106">
        <f t="shared" si="3"/>
        <v>2508</v>
      </c>
      <c r="O16" s="86">
        <f t="shared" ref="O16:O61" si="4">N16/$N$62</f>
        <v>1.7935650789618098E-3</v>
      </c>
    </row>
    <row r="17" spans="1:15" s="87" customFormat="1" x14ac:dyDescent="0.25">
      <c r="A17" s="85" t="s">
        <v>240</v>
      </c>
      <c r="B17" s="104">
        <v>20124</v>
      </c>
      <c r="C17" s="104">
        <v>14352</v>
      </c>
      <c r="D17" s="104">
        <v>13884</v>
      </c>
      <c r="E17" s="104">
        <v>24336</v>
      </c>
      <c r="F17" s="104">
        <v>27144</v>
      </c>
      <c r="G17" s="104">
        <v>22620</v>
      </c>
      <c r="H17" s="104">
        <v>22152</v>
      </c>
      <c r="I17" s="104">
        <f>32136+4963</f>
        <v>37099</v>
      </c>
      <c r="J17" s="104">
        <v>13648.25</v>
      </c>
      <c r="K17" s="104">
        <v>16838.75</v>
      </c>
      <c r="L17" s="104">
        <v>23928.75</v>
      </c>
      <c r="M17" s="104"/>
      <c r="N17" s="106">
        <f t="shared" si="3"/>
        <v>236126.75</v>
      </c>
      <c r="O17" s="86">
        <f t="shared" si="4"/>
        <v>0.16886311523474701</v>
      </c>
    </row>
    <row r="18" spans="1:15" s="87" customFormat="1" x14ac:dyDescent="0.25">
      <c r="A18" s="85" t="s">
        <v>216</v>
      </c>
      <c r="B18" s="104">
        <v>0</v>
      </c>
      <c r="C18" s="104">
        <v>0</v>
      </c>
      <c r="D18" s="104">
        <v>98</v>
      </c>
      <c r="E18" s="104">
        <v>0</v>
      </c>
      <c r="F18" s="104">
        <v>98</v>
      </c>
      <c r="G18" s="104">
        <v>294</v>
      </c>
      <c r="H18" s="104">
        <v>294</v>
      </c>
      <c r="I18" s="104">
        <v>98</v>
      </c>
      <c r="J18" s="119">
        <v>0</v>
      </c>
      <c r="K18" s="119">
        <v>0</v>
      </c>
      <c r="L18" s="119">
        <v>0</v>
      </c>
      <c r="M18" s="119">
        <v>0</v>
      </c>
      <c r="N18" s="106">
        <f t="shared" si="3"/>
        <v>882</v>
      </c>
      <c r="O18" s="86">
        <f t="shared" si="4"/>
        <v>6.3075135552006232E-4</v>
      </c>
    </row>
    <row r="19" spans="1:15" s="87" customFormat="1" x14ac:dyDescent="0.25">
      <c r="A19" s="85" t="s">
        <v>156</v>
      </c>
      <c r="B19" s="106">
        <v>0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1215</v>
      </c>
      <c r="J19" s="106">
        <v>1262.25</v>
      </c>
      <c r="K19" s="106">
        <v>0</v>
      </c>
      <c r="L19" s="106">
        <v>0</v>
      </c>
      <c r="M19" s="106"/>
      <c r="N19" s="106">
        <f t="shared" si="3"/>
        <v>2477.25</v>
      </c>
      <c r="O19" s="86">
        <f t="shared" si="4"/>
        <v>1.7715745980295627E-3</v>
      </c>
    </row>
    <row r="20" spans="1:15" s="87" customFormat="1" x14ac:dyDescent="0.25">
      <c r="A20" s="85" t="s">
        <v>184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561</v>
      </c>
      <c r="L20" s="106">
        <v>137.5</v>
      </c>
      <c r="M20" s="106"/>
      <c r="N20" s="106">
        <f t="shared" si="3"/>
        <v>698.5</v>
      </c>
      <c r="O20" s="86">
        <f t="shared" si="4"/>
        <v>4.9952360751787247E-4</v>
      </c>
    </row>
    <row r="21" spans="1:15" s="87" customFormat="1" x14ac:dyDescent="0.25">
      <c r="A21" s="85" t="s">
        <v>231</v>
      </c>
      <c r="B21" s="106">
        <v>5775</v>
      </c>
      <c r="C21" s="106">
        <v>6776</v>
      </c>
      <c r="D21" s="106">
        <v>10010</v>
      </c>
      <c r="E21" s="106">
        <v>5390</v>
      </c>
      <c r="F21" s="106">
        <v>8855</v>
      </c>
      <c r="G21" s="106">
        <v>7161</v>
      </c>
      <c r="H21" s="106">
        <v>11473</v>
      </c>
      <c r="I21" s="106">
        <f>14014+1690</f>
        <v>15704</v>
      </c>
      <c r="J21" s="106">
        <v>4732</v>
      </c>
      <c r="K21" s="106">
        <v>4394</v>
      </c>
      <c r="L21" s="106">
        <v>4478.5</v>
      </c>
      <c r="M21" s="106"/>
      <c r="N21" s="106">
        <f t="shared" si="3"/>
        <v>84748.5</v>
      </c>
      <c r="O21" s="86">
        <f t="shared" si="4"/>
        <v>6.0606838155659863E-2</v>
      </c>
    </row>
    <row r="22" spans="1:15" s="87" customFormat="1" x14ac:dyDescent="0.25">
      <c r="A22" s="85" t="s">
        <v>157</v>
      </c>
      <c r="B22" s="106">
        <v>0</v>
      </c>
      <c r="C22" s="106">
        <v>0</v>
      </c>
      <c r="D22" s="106">
        <v>0</v>
      </c>
      <c r="E22" s="106">
        <v>0</v>
      </c>
      <c r="F22" s="106">
        <v>6340</v>
      </c>
      <c r="G22" s="106">
        <v>14215</v>
      </c>
      <c r="H22" s="106">
        <v>24960</v>
      </c>
      <c r="I22" s="106">
        <f>10665+11236.5</f>
        <v>21901.5</v>
      </c>
      <c r="J22" s="106">
        <v>12457.5</v>
      </c>
      <c r="K22" s="106">
        <v>0</v>
      </c>
      <c r="L22" s="106">
        <v>0</v>
      </c>
      <c r="M22" s="106"/>
      <c r="N22" s="106">
        <f t="shared" si="3"/>
        <v>79874</v>
      </c>
      <c r="O22" s="86">
        <f t="shared" si="4"/>
        <v>5.7120899966904143E-2</v>
      </c>
    </row>
    <row r="23" spans="1:15" s="87" customFormat="1" x14ac:dyDescent="0.25">
      <c r="A23" s="85" t="s">
        <v>180</v>
      </c>
      <c r="B23" s="106">
        <v>4820</v>
      </c>
      <c r="C23" s="106">
        <v>5044</v>
      </c>
      <c r="D23" s="106">
        <v>6796</v>
      </c>
      <c r="E23" s="106">
        <v>7740</v>
      </c>
      <c r="F23" s="106">
        <v>5072</v>
      </c>
      <c r="G23" s="106">
        <v>0</v>
      </c>
      <c r="H23" s="106">
        <v>0</v>
      </c>
      <c r="I23" s="106">
        <v>0</v>
      </c>
      <c r="J23" s="106">
        <v>0</v>
      </c>
      <c r="K23" s="106">
        <v>6525</v>
      </c>
      <c r="L23" s="106">
        <v>6804</v>
      </c>
      <c r="M23" s="106"/>
      <c r="N23" s="106">
        <f t="shared" si="3"/>
        <v>42801</v>
      </c>
      <c r="O23" s="86">
        <f t="shared" si="4"/>
        <v>3.0608604044914042E-2</v>
      </c>
    </row>
    <row r="24" spans="1:15" s="87" customFormat="1" x14ac:dyDescent="0.25">
      <c r="A24" s="85" t="s">
        <v>244</v>
      </c>
      <c r="B24" s="106">
        <v>0</v>
      </c>
      <c r="C24" s="106">
        <v>0</v>
      </c>
      <c r="D24" s="106">
        <v>0</v>
      </c>
      <c r="E24" s="106">
        <v>0</v>
      </c>
      <c r="F24" s="106">
        <v>15660</v>
      </c>
      <c r="G24" s="106">
        <v>37665</v>
      </c>
      <c r="H24" s="106">
        <v>50310</v>
      </c>
      <c r="I24" s="106">
        <f>21990+28106.5</f>
        <v>50096.5</v>
      </c>
      <c r="J24" s="106">
        <v>38441.25</v>
      </c>
      <c r="K24" s="106">
        <v>15</v>
      </c>
      <c r="L24" s="106">
        <v>0</v>
      </c>
      <c r="M24" s="106"/>
      <c r="N24" s="106">
        <f t="shared" si="3"/>
        <v>192187.75</v>
      </c>
      <c r="O24" s="86">
        <f t="shared" si="4"/>
        <v>0.137440684610942</v>
      </c>
    </row>
    <row r="25" spans="1:15" s="87" customFormat="1" x14ac:dyDescent="0.25">
      <c r="A25" s="85" t="s">
        <v>245</v>
      </c>
      <c r="B25" s="106">
        <v>23220</v>
      </c>
      <c r="C25" s="106">
        <v>19884</v>
      </c>
      <c r="D25" s="106">
        <v>12096</v>
      </c>
      <c r="E25" s="106">
        <v>28512</v>
      </c>
      <c r="F25" s="106">
        <v>16752</v>
      </c>
      <c r="G25" s="106">
        <v>0</v>
      </c>
      <c r="H25" s="106">
        <v>0</v>
      </c>
      <c r="I25" s="106">
        <v>0</v>
      </c>
      <c r="J25" s="106">
        <v>0</v>
      </c>
      <c r="K25" s="106">
        <v>25407</v>
      </c>
      <c r="L25" s="106">
        <v>25677</v>
      </c>
      <c r="M25" s="106"/>
      <c r="N25" s="106">
        <f t="shared" si="3"/>
        <v>151548</v>
      </c>
      <c r="O25" s="86">
        <f t="shared" si="4"/>
        <v>0.10837767168520906</v>
      </c>
    </row>
    <row r="26" spans="1:15" s="87" customFormat="1" x14ac:dyDescent="0.25">
      <c r="A26" s="85" t="s">
        <v>237</v>
      </c>
      <c r="B26" s="106">
        <v>0</v>
      </c>
      <c r="C26" s="106">
        <v>0</v>
      </c>
      <c r="D26" s="106">
        <v>120</v>
      </c>
      <c r="E26" s="106">
        <v>0</v>
      </c>
      <c r="F26" s="106">
        <v>0</v>
      </c>
      <c r="G26" s="106">
        <v>0</v>
      </c>
      <c r="H26" s="106">
        <v>120</v>
      </c>
      <c r="I26" s="106">
        <v>0</v>
      </c>
      <c r="J26" s="106">
        <v>0</v>
      </c>
      <c r="K26" s="106">
        <v>0</v>
      </c>
      <c r="L26" s="106">
        <v>0</v>
      </c>
      <c r="M26" s="106"/>
      <c r="N26" s="106">
        <f t="shared" si="3"/>
        <v>240</v>
      </c>
      <c r="O26" s="86">
        <f t="shared" si="4"/>
        <v>1.7163302191022103E-4</v>
      </c>
    </row>
    <row r="27" spans="1:15" s="87" customFormat="1" x14ac:dyDescent="0.25">
      <c r="A27" s="85" t="s">
        <v>114</v>
      </c>
      <c r="B27" s="106">
        <v>0</v>
      </c>
      <c r="C27" s="106">
        <v>0</v>
      </c>
      <c r="D27" s="106">
        <v>0</v>
      </c>
      <c r="E27" s="106">
        <v>0</v>
      </c>
      <c r="F27" s="106">
        <v>162</v>
      </c>
      <c r="G27" s="106">
        <v>248</v>
      </c>
      <c r="H27" s="106">
        <v>154</v>
      </c>
      <c r="I27" s="106">
        <v>1025.6099999999999</v>
      </c>
      <c r="J27" s="106">
        <v>218</v>
      </c>
      <c r="K27" s="106">
        <v>1583.25</v>
      </c>
      <c r="L27" s="106">
        <v>1000</v>
      </c>
      <c r="M27" s="106"/>
      <c r="N27" s="106">
        <f t="shared" si="3"/>
        <v>4390.8599999999997</v>
      </c>
      <c r="O27" s="86">
        <f t="shared" si="4"/>
        <v>3.1400690441029709E-3</v>
      </c>
    </row>
    <row r="28" spans="1:15" s="87" customFormat="1" x14ac:dyDescent="0.25">
      <c r="A28" s="85" t="s">
        <v>7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19">
        <v>0</v>
      </c>
      <c r="K28" s="119">
        <v>0</v>
      </c>
      <c r="L28" s="119">
        <v>0</v>
      </c>
      <c r="M28" s="119">
        <v>0</v>
      </c>
      <c r="N28" s="106">
        <f t="shared" si="3"/>
        <v>0</v>
      </c>
      <c r="O28" s="86">
        <f t="shared" si="4"/>
        <v>0</v>
      </c>
    </row>
    <row r="29" spans="1:15" s="87" customFormat="1" x14ac:dyDescent="0.25">
      <c r="A29" s="85" t="s">
        <v>158</v>
      </c>
      <c r="B29" s="106">
        <v>0</v>
      </c>
      <c r="C29" s="106">
        <v>0</v>
      </c>
      <c r="D29" s="106">
        <v>0</v>
      </c>
      <c r="E29" s="106">
        <v>0</v>
      </c>
      <c r="F29" s="106">
        <v>130</v>
      </c>
      <c r="G29" s="106">
        <v>180</v>
      </c>
      <c r="H29" s="106">
        <v>190</v>
      </c>
      <c r="I29" s="106">
        <f>90+213.75</f>
        <v>303.75</v>
      </c>
      <c r="J29" s="106">
        <v>540</v>
      </c>
      <c r="K29" s="106">
        <v>0</v>
      </c>
      <c r="L29" s="106">
        <v>0</v>
      </c>
      <c r="M29" s="106"/>
      <c r="N29" s="106">
        <f t="shared" si="3"/>
        <v>1343.75</v>
      </c>
      <c r="O29" s="86">
        <f t="shared" si="4"/>
        <v>9.6096613829941462E-4</v>
      </c>
    </row>
    <row r="30" spans="1:15" s="87" customFormat="1" x14ac:dyDescent="0.25">
      <c r="A30" s="85" t="s">
        <v>185</v>
      </c>
      <c r="B30" s="106">
        <v>14</v>
      </c>
      <c r="C30" s="106">
        <v>14</v>
      </c>
      <c r="D30" s="106">
        <v>21</v>
      </c>
      <c r="E30" s="106">
        <v>140</v>
      </c>
      <c r="F30" s="106">
        <v>126</v>
      </c>
      <c r="G30" s="106">
        <v>0</v>
      </c>
      <c r="H30" s="106">
        <v>0</v>
      </c>
      <c r="I30" s="106">
        <v>0</v>
      </c>
      <c r="J30" s="106">
        <v>0</v>
      </c>
      <c r="K30" s="106">
        <v>85.25</v>
      </c>
      <c r="L30" s="106">
        <v>46.5</v>
      </c>
      <c r="M30" s="106"/>
      <c r="N30" s="106">
        <f t="shared" si="3"/>
        <v>446.75</v>
      </c>
      <c r="O30" s="86">
        <f t="shared" si="4"/>
        <v>3.1948771890996354E-4</v>
      </c>
    </row>
    <row r="31" spans="1:15" s="87" customFormat="1" x14ac:dyDescent="0.25">
      <c r="A31" s="85" t="s">
        <v>10</v>
      </c>
      <c r="B31" s="106">
        <v>104.5</v>
      </c>
      <c r="C31" s="106">
        <v>104.5</v>
      </c>
      <c r="D31" s="106">
        <v>121</v>
      </c>
      <c r="E31" s="106">
        <v>82.5</v>
      </c>
      <c r="F31" s="106">
        <v>115.5</v>
      </c>
      <c r="G31" s="106">
        <v>60.5</v>
      </c>
      <c r="H31" s="106">
        <v>0</v>
      </c>
      <c r="I31" s="106">
        <v>0</v>
      </c>
      <c r="J31" s="119">
        <v>0</v>
      </c>
      <c r="K31" s="119">
        <v>0</v>
      </c>
      <c r="L31" s="119">
        <v>0</v>
      </c>
      <c r="M31" s="119">
        <v>0</v>
      </c>
      <c r="N31" s="106">
        <f>SUM(B31:M31)</f>
        <v>588.5</v>
      </c>
      <c r="O31" s="86">
        <f t="shared" si="4"/>
        <v>4.2085847247568783E-4</v>
      </c>
    </row>
    <row r="32" spans="1:15" s="87" customFormat="1" x14ac:dyDescent="0.25">
      <c r="A32" s="85" t="s">
        <v>11</v>
      </c>
      <c r="B32" s="106">
        <v>0</v>
      </c>
      <c r="C32" s="106">
        <v>0</v>
      </c>
      <c r="D32" s="106">
        <v>0</v>
      </c>
      <c r="E32" s="106">
        <v>72</v>
      </c>
      <c r="F32" s="106">
        <v>56</v>
      </c>
      <c r="G32" s="106">
        <v>56</v>
      </c>
      <c r="H32" s="106">
        <v>16</v>
      </c>
      <c r="I32" s="106">
        <f>8+18.25</f>
        <v>26.25</v>
      </c>
      <c r="J32" s="106">
        <v>73</v>
      </c>
      <c r="K32" s="106">
        <v>81.25</v>
      </c>
      <c r="L32" s="106">
        <v>178.75</v>
      </c>
      <c r="M32" s="106"/>
      <c r="N32" s="106">
        <f t="shared" si="3"/>
        <v>559.25</v>
      </c>
      <c r="O32" s="86">
        <f t="shared" si="4"/>
        <v>3.9994069793037966E-4</v>
      </c>
    </row>
    <row r="33" spans="1:15" s="87" customFormat="1" x14ac:dyDescent="0.25">
      <c r="A33" s="85" t="s">
        <v>246</v>
      </c>
      <c r="B33" s="106">
        <v>0</v>
      </c>
      <c r="C33" s="106">
        <v>0</v>
      </c>
      <c r="D33" s="106">
        <v>0</v>
      </c>
      <c r="E33" s="106">
        <v>0</v>
      </c>
      <c r="F33" s="106">
        <v>3480</v>
      </c>
      <c r="G33" s="106">
        <v>9876</v>
      </c>
      <c r="H33" s="106">
        <v>11376</v>
      </c>
      <c r="I33" s="106">
        <f>5304+6399</f>
        <v>11703</v>
      </c>
      <c r="J33" s="106">
        <v>9274.5</v>
      </c>
      <c r="K33" s="106">
        <v>0</v>
      </c>
      <c r="L33" s="106">
        <v>0</v>
      </c>
      <c r="M33" s="106"/>
      <c r="N33" s="106">
        <f>SUM(B33:M33)</f>
        <v>45709.5</v>
      </c>
      <c r="O33" s="86">
        <f t="shared" si="4"/>
        <v>3.2688581729188537E-2</v>
      </c>
    </row>
    <row r="34" spans="1:15" s="87" customFormat="1" x14ac:dyDescent="0.25">
      <c r="A34" s="85" t="s">
        <v>247</v>
      </c>
      <c r="B34" s="106">
        <v>5470</v>
      </c>
      <c r="C34" s="106">
        <v>4330</v>
      </c>
      <c r="D34" s="106">
        <v>2510</v>
      </c>
      <c r="E34" s="106">
        <v>6610</v>
      </c>
      <c r="F34" s="106">
        <v>4500</v>
      </c>
      <c r="G34" s="106">
        <v>0</v>
      </c>
      <c r="H34" s="106">
        <v>0</v>
      </c>
      <c r="I34" s="106">
        <v>0</v>
      </c>
      <c r="J34" s="106">
        <v>0</v>
      </c>
      <c r="K34" s="106">
        <v>7323.75</v>
      </c>
      <c r="L34" s="106">
        <v>7031.25</v>
      </c>
      <c r="M34" s="106"/>
      <c r="N34" s="106">
        <f>SUM(B34:M34)</f>
        <v>37775</v>
      </c>
      <c r="O34" s="86">
        <f t="shared" si="4"/>
        <v>2.7014322511077497E-2</v>
      </c>
    </row>
    <row r="35" spans="1:15" s="87" customFormat="1" x14ac:dyDescent="0.25">
      <c r="A35" s="85" t="s">
        <v>211</v>
      </c>
      <c r="B35" s="106">
        <v>0</v>
      </c>
      <c r="C35" s="106">
        <v>0</v>
      </c>
      <c r="D35" s="106">
        <v>0</v>
      </c>
      <c r="E35" s="106">
        <v>0</v>
      </c>
      <c r="F35" s="106">
        <v>1935</v>
      </c>
      <c r="G35" s="106">
        <v>5412</v>
      </c>
      <c r="H35" s="106">
        <v>9618</v>
      </c>
      <c r="I35" s="106">
        <f>3795+2554.5</f>
        <v>6349.5</v>
      </c>
      <c r="J35" s="106">
        <v>2525.25</v>
      </c>
      <c r="K35" s="106">
        <v>0</v>
      </c>
      <c r="L35" s="106">
        <v>0</v>
      </c>
      <c r="M35" s="106"/>
      <c r="N35" s="106">
        <f>SUM(B35:M35)</f>
        <v>25839.75</v>
      </c>
      <c r="O35" s="86">
        <f t="shared" si="4"/>
        <v>1.8478976574602641E-2</v>
      </c>
    </row>
    <row r="36" spans="1:15" s="87" customFormat="1" x14ac:dyDescent="0.25">
      <c r="A36" s="85" t="s">
        <v>212</v>
      </c>
      <c r="B36" s="106">
        <v>1062</v>
      </c>
      <c r="C36" s="106">
        <v>1014</v>
      </c>
      <c r="D36" s="106">
        <v>1218</v>
      </c>
      <c r="E36" s="106">
        <v>1912</v>
      </c>
      <c r="F36" s="106">
        <v>1216</v>
      </c>
      <c r="G36" s="106">
        <v>0</v>
      </c>
      <c r="H36" s="106">
        <v>0</v>
      </c>
      <c r="I36" s="106">
        <v>0</v>
      </c>
      <c r="J36" s="106">
        <v>0</v>
      </c>
      <c r="K36" s="106">
        <v>1086.75</v>
      </c>
      <c r="L36" s="106">
        <v>976.5</v>
      </c>
      <c r="M36" s="106"/>
      <c r="N36" s="106">
        <f>SUM(B36:M36)</f>
        <v>8485.25</v>
      </c>
      <c r="O36" s="86">
        <f t="shared" si="4"/>
        <v>6.0681212465154297E-3</v>
      </c>
    </row>
    <row r="37" spans="1:15" s="87" customFormat="1" x14ac:dyDescent="0.25">
      <c r="A37" s="85" t="s">
        <v>186</v>
      </c>
      <c r="B37" s="106">
        <v>0</v>
      </c>
      <c r="C37" s="106">
        <v>0</v>
      </c>
      <c r="D37" s="106">
        <v>0</v>
      </c>
      <c r="E37" s="106">
        <v>0</v>
      </c>
      <c r="F37" s="106">
        <v>45</v>
      </c>
      <c r="G37" s="106">
        <v>108</v>
      </c>
      <c r="H37" s="106">
        <v>153</v>
      </c>
      <c r="I37" s="106">
        <v>81</v>
      </c>
      <c r="J37" s="106">
        <v>0</v>
      </c>
      <c r="K37" s="106">
        <v>0</v>
      </c>
      <c r="L37" s="106">
        <v>0</v>
      </c>
      <c r="M37" s="106"/>
      <c r="N37" s="106">
        <f t="shared" si="3"/>
        <v>387</v>
      </c>
      <c r="O37" s="86">
        <f t="shared" si="4"/>
        <v>2.7675824783023143E-4</v>
      </c>
    </row>
    <row r="38" spans="1:15" s="87" customFormat="1" x14ac:dyDescent="0.25">
      <c r="A38" s="85" t="s">
        <v>182</v>
      </c>
      <c r="B38" s="106">
        <v>0</v>
      </c>
      <c r="C38" s="106">
        <v>0</v>
      </c>
      <c r="D38" s="106">
        <v>0</v>
      </c>
      <c r="E38" s="106">
        <v>6</v>
      </c>
      <c r="F38" s="106">
        <v>12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/>
      <c r="N38" s="106">
        <f t="shared" si="3"/>
        <v>18</v>
      </c>
      <c r="O38" s="86">
        <f t="shared" si="4"/>
        <v>1.2872476643266578E-5</v>
      </c>
    </row>
    <row r="39" spans="1:15" s="87" customFormat="1" x14ac:dyDescent="0.25">
      <c r="A39" s="85" t="s">
        <v>234</v>
      </c>
      <c r="B39" s="106">
        <v>2898</v>
      </c>
      <c r="C39" s="106">
        <v>4830</v>
      </c>
      <c r="D39" s="106">
        <v>4508</v>
      </c>
      <c r="E39" s="106">
        <v>4508</v>
      </c>
      <c r="F39" s="106">
        <v>5520</v>
      </c>
      <c r="G39" s="106">
        <v>4646</v>
      </c>
      <c r="H39" s="106">
        <v>6302</v>
      </c>
      <c r="I39" s="106">
        <f>10580+537.5</f>
        <v>11117.5</v>
      </c>
      <c r="J39" s="106">
        <v>2418.75</v>
      </c>
      <c r="K39" s="106">
        <v>2365</v>
      </c>
      <c r="L39" s="106">
        <v>2418.75</v>
      </c>
      <c r="M39" s="106"/>
      <c r="N39" s="106">
        <f>SUM(B39:M39)</f>
        <v>51532</v>
      </c>
      <c r="O39" s="86">
        <f t="shared" si="4"/>
        <v>3.6852470354489623E-2</v>
      </c>
    </row>
    <row r="40" spans="1:15" s="87" customFormat="1" x14ac:dyDescent="0.25">
      <c r="A40" s="85" t="s">
        <v>162</v>
      </c>
      <c r="B40" s="106">
        <v>0</v>
      </c>
      <c r="C40" s="106">
        <v>0</v>
      </c>
      <c r="D40" s="106">
        <v>0</v>
      </c>
      <c r="E40" s="106">
        <v>0</v>
      </c>
      <c r="F40" s="106">
        <v>0</v>
      </c>
      <c r="G40" s="106">
        <v>0</v>
      </c>
      <c r="H40" s="106">
        <v>0</v>
      </c>
      <c r="I40" s="106">
        <v>463.5</v>
      </c>
      <c r="J40" s="106">
        <v>864</v>
      </c>
      <c r="K40" s="106">
        <v>0</v>
      </c>
      <c r="L40" s="106">
        <v>0</v>
      </c>
      <c r="M40" s="106"/>
      <c r="N40" s="106">
        <f t="shared" si="3"/>
        <v>1327.5</v>
      </c>
      <c r="O40" s="86">
        <f t="shared" si="4"/>
        <v>9.4934515244091014E-4</v>
      </c>
    </row>
    <row r="41" spans="1:15" s="87" customFormat="1" x14ac:dyDescent="0.25">
      <c r="A41" s="85" t="s">
        <v>183</v>
      </c>
      <c r="B41" s="106">
        <v>0</v>
      </c>
      <c r="C41" s="106">
        <v>0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287</v>
      </c>
      <c r="L41" s="106">
        <v>52.5</v>
      </c>
      <c r="M41" s="106"/>
      <c r="N41" s="106">
        <f t="shared" si="3"/>
        <v>339.5</v>
      </c>
      <c r="O41" s="86">
        <f t="shared" si="4"/>
        <v>2.4278921224383349E-4</v>
      </c>
    </row>
    <row r="42" spans="1:15" s="87" customFormat="1" x14ac:dyDescent="0.25">
      <c r="A42" s="85" t="s">
        <v>196</v>
      </c>
      <c r="B42" s="106">
        <v>0</v>
      </c>
      <c r="C42" s="106">
        <v>0</v>
      </c>
      <c r="D42" s="106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19">
        <v>0</v>
      </c>
      <c r="K42" s="119">
        <v>0</v>
      </c>
      <c r="L42" s="119">
        <v>0</v>
      </c>
      <c r="M42" s="119">
        <v>0</v>
      </c>
      <c r="N42" s="106">
        <f t="shared" si="3"/>
        <v>0</v>
      </c>
      <c r="O42" s="86">
        <f t="shared" si="4"/>
        <v>0</v>
      </c>
    </row>
    <row r="43" spans="1:15" s="87" customFormat="1" x14ac:dyDescent="0.25">
      <c r="A43" s="85" t="s">
        <v>163</v>
      </c>
      <c r="B43" s="106">
        <v>0</v>
      </c>
      <c r="C43" s="106">
        <v>0</v>
      </c>
      <c r="D43" s="106">
        <v>0</v>
      </c>
      <c r="E43" s="106">
        <v>0</v>
      </c>
      <c r="F43" s="106">
        <v>1470</v>
      </c>
      <c r="G43" s="106">
        <v>4830</v>
      </c>
      <c r="H43" s="106">
        <v>4704</v>
      </c>
      <c r="I43" s="106">
        <v>2079</v>
      </c>
      <c r="J43" s="119">
        <v>0</v>
      </c>
      <c r="K43" s="119">
        <v>0</v>
      </c>
      <c r="L43" s="119">
        <v>0</v>
      </c>
      <c r="M43" s="119">
        <v>0</v>
      </c>
      <c r="N43" s="106">
        <f t="shared" si="3"/>
        <v>13083</v>
      </c>
      <c r="O43" s="86">
        <f t="shared" si="4"/>
        <v>9.356145106880924E-3</v>
      </c>
    </row>
    <row r="44" spans="1:15" s="87" customFormat="1" x14ac:dyDescent="0.25">
      <c r="A44" s="85" t="s">
        <v>187</v>
      </c>
      <c r="B44" s="106">
        <v>2652</v>
      </c>
      <c r="C44" s="106">
        <v>2805</v>
      </c>
      <c r="D44" s="106">
        <v>1802</v>
      </c>
      <c r="E44" s="106">
        <v>3621</v>
      </c>
      <c r="F44" s="106">
        <v>2312</v>
      </c>
      <c r="G44" s="106">
        <v>0</v>
      </c>
      <c r="H44" s="106">
        <v>0</v>
      </c>
      <c r="I44" s="106">
        <v>0</v>
      </c>
      <c r="J44" s="119">
        <v>0</v>
      </c>
      <c r="K44" s="119">
        <v>0</v>
      </c>
      <c r="L44" s="119">
        <v>0</v>
      </c>
      <c r="M44" s="119">
        <v>0</v>
      </c>
      <c r="N44" s="106">
        <f t="shared" si="3"/>
        <v>13192</v>
      </c>
      <c r="O44" s="86">
        <f t="shared" si="4"/>
        <v>9.4340951043318157E-3</v>
      </c>
    </row>
    <row r="45" spans="1:15" s="87" customFormat="1" x14ac:dyDescent="0.25">
      <c r="A45" s="85" t="s">
        <v>164</v>
      </c>
      <c r="B45" s="106">
        <v>0</v>
      </c>
      <c r="C45" s="106">
        <v>0</v>
      </c>
      <c r="D45" s="106">
        <v>0</v>
      </c>
      <c r="E45" s="106">
        <v>0</v>
      </c>
      <c r="F45" s="106">
        <v>840</v>
      </c>
      <c r="G45" s="106">
        <v>2460</v>
      </c>
      <c r="H45" s="106">
        <v>2820</v>
      </c>
      <c r="I45" s="106">
        <f>1110+2452.5</f>
        <v>3562.5</v>
      </c>
      <c r="J45" s="106">
        <v>4087.5</v>
      </c>
      <c r="K45" s="106">
        <v>0</v>
      </c>
      <c r="L45" s="106">
        <v>0</v>
      </c>
      <c r="M45" s="106"/>
      <c r="N45" s="106">
        <f t="shared" si="3"/>
        <v>13770</v>
      </c>
      <c r="O45" s="86">
        <f t="shared" si="4"/>
        <v>9.8474446320989326E-3</v>
      </c>
    </row>
    <row r="46" spans="1:15" s="87" customFormat="1" x14ac:dyDescent="0.25">
      <c r="A46" s="85" t="s">
        <v>188</v>
      </c>
      <c r="B46" s="106">
        <v>1325</v>
      </c>
      <c r="C46" s="106">
        <v>1775</v>
      </c>
      <c r="D46" s="106">
        <v>950</v>
      </c>
      <c r="E46" s="106">
        <v>2025</v>
      </c>
      <c r="F46" s="106">
        <v>1150</v>
      </c>
      <c r="G46" s="106">
        <v>0</v>
      </c>
      <c r="H46" s="106">
        <v>0</v>
      </c>
      <c r="I46" s="106">
        <v>0</v>
      </c>
      <c r="J46" s="106">
        <v>0</v>
      </c>
      <c r="K46" s="106">
        <v>1956.5</v>
      </c>
      <c r="L46" s="106">
        <v>1806</v>
      </c>
      <c r="M46" s="106"/>
      <c r="N46" s="106">
        <f t="shared" si="3"/>
        <v>10987.5</v>
      </c>
      <c r="O46" s="86">
        <f t="shared" si="4"/>
        <v>7.8575742843273073E-3</v>
      </c>
    </row>
    <row r="47" spans="1:15" s="87" customFormat="1" x14ac:dyDescent="0.25">
      <c r="A47" s="85" t="s">
        <v>165</v>
      </c>
      <c r="B47" s="106">
        <v>0</v>
      </c>
      <c r="C47" s="106">
        <v>0</v>
      </c>
      <c r="D47" s="106">
        <v>0</v>
      </c>
      <c r="E47" s="106">
        <v>0</v>
      </c>
      <c r="F47" s="106">
        <v>1287</v>
      </c>
      <c r="G47" s="106">
        <v>4212</v>
      </c>
      <c r="H47" s="106">
        <v>4446</v>
      </c>
      <c r="I47" s="106">
        <v>2301</v>
      </c>
      <c r="J47" s="119">
        <v>0</v>
      </c>
      <c r="K47" s="119">
        <v>0</v>
      </c>
      <c r="L47" s="119">
        <v>0</v>
      </c>
      <c r="M47" s="119">
        <v>0</v>
      </c>
      <c r="N47" s="106">
        <f t="shared" si="3"/>
        <v>12246</v>
      </c>
      <c r="O47" s="86">
        <f t="shared" si="4"/>
        <v>8.7575749429690281E-3</v>
      </c>
    </row>
    <row r="48" spans="1:15" s="87" customFormat="1" x14ac:dyDescent="0.25">
      <c r="A48" s="85" t="s">
        <v>189</v>
      </c>
      <c r="B48" s="106">
        <v>2013</v>
      </c>
      <c r="C48" s="106">
        <v>2376</v>
      </c>
      <c r="D48" s="106">
        <v>1848</v>
      </c>
      <c r="E48" s="106">
        <v>3630</v>
      </c>
      <c r="F48" s="106">
        <v>2673</v>
      </c>
      <c r="G48" s="106">
        <v>0</v>
      </c>
      <c r="H48" s="106">
        <v>0</v>
      </c>
      <c r="I48" s="106">
        <v>0</v>
      </c>
      <c r="J48" s="119">
        <v>0</v>
      </c>
      <c r="K48" s="119">
        <v>0</v>
      </c>
      <c r="L48" s="119">
        <v>0</v>
      </c>
      <c r="M48" s="119">
        <v>0</v>
      </c>
      <c r="N48" s="106">
        <f t="shared" si="3"/>
        <v>12540</v>
      </c>
      <c r="O48" s="86">
        <f t="shared" si="4"/>
        <v>8.9678253948090488E-3</v>
      </c>
    </row>
    <row r="49" spans="1:15" s="87" customFormat="1" x14ac:dyDescent="0.25">
      <c r="A49" s="85" t="s">
        <v>166</v>
      </c>
      <c r="B49" s="106">
        <v>0</v>
      </c>
      <c r="C49" s="106">
        <v>0</v>
      </c>
      <c r="D49" s="106">
        <v>0</v>
      </c>
      <c r="E49" s="106">
        <v>0</v>
      </c>
      <c r="F49" s="106">
        <v>1071</v>
      </c>
      <c r="G49" s="106">
        <v>3366</v>
      </c>
      <c r="H49" s="106">
        <v>3876</v>
      </c>
      <c r="I49" s="106">
        <f>3366+4212</f>
        <v>7578</v>
      </c>
      <c r="J49" s="106">
        <v>5616</v>
      </c>
      <c r="K49" s="106">
        <v>0</v>
      </c>
      <c r="L49" s="106">
        <v>0</v>
      </c>
      <c r="M49" s="106"/>
      <c r="N49" s="106">
        <f t="shared" si="3"/>
        <v>21507</v>
      </c>
      <c r="O49" s="86">
        <f t="shared" si="4"/>
        <v>1.5380464175929682E-2</v>
      </c>
    </row>
    <row r="50" spans="1:15" s="87" customFormat="1" x14ac:dyDescent="0.25">
      <c r="A50" s="85" t="s">
        <v>190</v>
      </c>
      <c r="B50" s="106">
        <v>1638</v>
      </c>
      <c r="C50" s="106">
        <v>1932</v>
      </c>
      <c r="D50" s="106">
        <v>1134</v>
      </c>
      <c r="E50" s="106">
        <v>1932</v>
      </c>
      <c r="F50" s="106">
        <v>1806</v>
      </c>
      <c r="G50" s="106">
        <v>0</v>
      </c>
      <c r="H50" s="106">
        <v>0</v>
      </c>
      <c r="I50" s="106">
        <v>0</v>
      </c>
      <c r="J50" s="106">
        <v>0</v>
      </c>
      <c r="K50" s="106">
        <v>4647.5</v>
      </c>
      <c r="L50" s="106">
        <v>3675.75</v>
      </c>
      <c r="M50" s="106"/>
      <c r="N50" s="106">
        <f t="shared" si="3"/>
        <v>16765.25</v>
      </c>
      <c r="O50" s="86">
        <f t="shared" si="4"/>
        <v>1.1989460502418055E-2</v>
      </c>
    </row>
    <row r="51" spans="1:15" s="87" customFormat="1" x14ac:dyDescent="0.25">
      <c r="A51" s="85" t="s">
        <v>167</v>
      </c>
      <c r="B51" s="106">
        <v>0</v>
      </c>
      <c r="C51" s="106">
        <v>0</v>
      </c>
      <c r="D51" s="106">
        <v>0</v>
      </c>
      <c r="E51" s="106">
        <v>0</v>
      </c>
      <c r="F51" s="106">
        <v>896</v>
      </c>
      <c r="G51" s="106">
        <v>2304</v>
      </c>
      <c r="H51" s="106">
        <v>2752</v>
      </c>
      <c r="I51" s="106">
        <v>1280</v>
      </c>
      <c r="J51" s="119">
        <v>0</v>
      </c>
      <c r="K51" s="119">
        <v>0</v>
      </c>
      <c r="L51" s="119">
        <v>0</v>
      </c>
      <c r="M51" s="119">
        <v>0</v>
      </c>
      <c r="N51" s="106">
        <f t="shared" si="3"/>
        <v>7232</v>
      </c>
      <c r="O51" s="86">
        <f t="shared" si="4"/>
        <v>5.1718750602279939E-3</v>
      </c>
    </row>
    <row r="52" spans="1:15" s="87" customFormat="1" x14ac:dyDescent="0.25">
      <c r="A52" s="85" t="s">
        <v>191</v>
      </c>
      <c r="B52" s="106">
        <v>520</v>
      </c>
      <c r="C52" s="106">
        <v>780</v>
      </c>
      <c r="D52" s="106">
        <v>468</v>
      </c>
      <c r="E52" s="106">
        <v>1300</v>
      </c>
      <c r="F52" s="106">
        <v>884</v>
      </c>
      <c r="G52" s="106">
        <v>0</v>
      </c>
      <c r="H52" s="106">
        <v>0</v>
      </c>
      <c r="I52" s="106">
        <v>0</v>
      </c>
      <c r="J52" s="119">
        <v>0</v>
      </c>
      <c r="K52" s="119">
        <v>0</v>
      </c>
      <c r="L52" s="119">
        <v>0</v>
      </c>
      <c r="M52" s="119">
        <v>0</v>
      </c>
      <c r="N52" s="106">
        <f t="shared" si="3"/>
        <v>3952</v>
      </c>
      <c r="O52" s="86">
        <f t="shared" si="4"/>
        <v>2.8262237607883062E-3</v>
      </c>
    </row>
    <row r="53" spans="1:15" s="87" customFormat="1" x14ac:dyDescent="0.25">
      <c r="A53" s="85" t="s">
        <v>168</v>
      </c>
      <c r="B53" s="106">
        <v>0</v>
      </c>
      <c r="C53" s="106">
        <v>0</v>
      </c>
      <c r="D53" s="106">
        <v>0</v>
      </c>
      <c r="E53" s="106">
        <v>0</v>
      </c>
      <c r="F53" s="106">
        <v>702</v>
      </c>
      <c r="G53" s="106">
        <v>936</v>
      </c>
      <c r="H53" s="106">
        <v>1326</v>
      </c>
      <c r="I53" s="106">
        <f>546+2327.25</f>
        <v>2873.25</v>
      </c>
      <c r="J53" s="106">
        <v>3210</v>
      </c>
      <c r="K53" s="106">
        <v>0</v>
      </c>
      <c r="L53" s="106">
        <v>0</v>
      </c>
      <c r="M53" s="106"/>
      <c r="N53" s="106">
        <f t="shared" si="3"/>
        <v>9047.25</v>
      </c>
      <c r="O53" s="86">
        <f t="shared" si="4"/>
        <v>6.4700285728218638E-3</v>
      </c>
    </row>
    <row r="54" spans="1:15" s="87" customFormat="1" x14ac:dyDescent="0.25">
      <c r="A54" s="85" t="s">
        <v>192</v>
      </c>
      <c r="B54" s="106">
        <v>576</v>
      </c>
      <c r="C54" s="106">
        <v>448</v>
      </c>
      <c r="D54" s="106">
        <v>256</v>
      </c>
      <c r="E54" s="106">
        <v>960</v>
      </c>
      <c r="F54" s="106">
        <v>512</v>
      </c>
      <c r="G54" s="106">
        <v>0</v>
      </c>
      <c r="H54" s="106">
        <v>0</v>
      </c>
      <c r="I54" s="106">
        <v>0</v>
      </c>
      <c r="J54" s="106">
        <v>0</v>
      </c>
      <c r="K54" s="106">
        <v>2709</v>
      </c>
      <c r="L54" s="106">
        <v>1071</v>
      </c>
      <c r="M54" s="106"/>
      <c r="N54" s="106">
        <f t="shared" si="3"/>
        <v>6532</v>
      </c>
      <c r="O54" s="86">
        <f t="shared" si="4"/>
        <v>4.6712787463231821E-3</v>
      </c>
    </row>
    <row r="55" spans="1:15" s="87" customFormat="1" x14ac:dyDescent="0.25">
      <c r="A55" s="85" t="s">
        <v>169</v>
      </c>
      <c r="B55" s="106">
        <v>0</v>
      </c>
      <c r="C55" s="106">
        <v>0</v>
      </c>
      <c r="D55" s="106">
        <v>0</v>
      </c>
      <c r="E55" s="106">
        <v>0</v>
      </c>
      <c r="F55" s="106">
        <v>94</v>
      </c>
      <c r="G55" s="106">
        <v>470</v>
      </c>
      <c r="H55" s="106">
        <v>846</v>
      </c>
      <c r="I55" s="106">
        <v>94</v>
      </c>
      <c r="J55" s="119">
        <v>0</v>
      </c>
      <c r="K55" s="119">
        <v>0</v>
      </c>
      <c r="L55" s="119">
        <v>0</v>
      </c>
      <c r="M55" s="119">
        <v>0</v>
      </c>
      <c r="N55" s="106">
        <f t="shared" si="3"/>
        <v>1504</v>
      </c>
      <c r="O55" s="86">
        <f t="shared" si="4"/>
        <v>1.0755669373040519E-3</v>
      </c>
    </row>
    <row r="56" spans="1:15" s="87" customFormat="1" x14ac:dyDescent="0.25">
      <c r="A56" s="85" t="s">
        <v>193</v>
      </c>
      <c r="B56" s="106">
        <v>154</v>
      </c>
      <c r="C56" s="106">
        <v>231</v>
      </c>
      <c r="D56" s="106">
        <v>154</v>
      </c>
      <c r="E56" s="106">
        <v>616</v>
      </c>
      <c r="F56" s="106">
        <v>154</v>
      </c>
      <c r="G56" s="106">
        <v>0</v>
      </c>
      <c r="H56" s="106">
        <v>0</v>
      </c>
      <c r="I56" s="106">
        <v>0</v>
      </c>
      <c r="J56" s="119">
        <v>0</v>
      </c>
      <c r="K56" s="119">
        <v>0</v>
      </c>
      <c r="L56" s="119">
        <v>0</v>
      </c>
      <c r="M56" s="119">
        <v>0</v>
      </c>
      <c r="N56" s="106">
        <f t="shared" si="3"/>
        <v>1309</v>
      </c>
      <c r="O56" s="86">
        <f t="shared" si="4"/>
        <v>9.3611510700199727E-4</v>
      </c>
    </row>
    <row r="57" spans="1:15" s="87" customFormat="1" x14ac:dyDescent="0.25">
      <c r="A57" s="85" t="s">
        <v>170</v>
      </c>
      <c r="B57" s="106">
        <v>0</v>
      </c>
      <c r="C57" s="106">
        <v>0</v>
      </c>
      <c r="D57" s="106">
        <v>0</v>
      </c>
      <c r="E57" s="106">
        <v>0</v>
      </c>
      <c r="F57" s="106">
        <v>109</v>
      </c>
      <c r="G57" s="106">
        <v>436</v>
      </c>
      <c r="H57" s="106">
        <v>436</v>
      </c>
      <c r="I57" s="106">
        <v>437</v>
      </c>
      <c r="J57" s="106">
        <v>764.75</v>
      </c>
      <c r="K57" s="106">
        <v>0</v>
      </c>
      <c r="L57" s="106">
        <v>0</v>
      </c>
      <c r="M57" s="106"/>
      <c r="N57" s="106">
        <f t="shared" si="3"/>
        <v>2182.75</v>
      </c>
      <c r="O57" s="86">
        <f t="shared" si="4"/>
        <v>1.5609665773938957E-3</v>
      </c>
    </row>
    <row r="58" spans="1:15" s="87" customFormat="1" x14ac:dyDescent="0.25">
      <c r="A58" s="85" t="s">
        <v>194</v>
      </c>
      <c r="B58" s="106">
        <v>90</v>
      </c>
      <c r="C58" s="106">
        <v>180</v>
      </c>
      <c r="D58" s="106">
        <v>180</v>
      </c>
      <c r="E58" s="106">
        <v>90</v>
      </c>
      <c r="F58" s="106">
        <v>90</v>
      </c>
      <c r="G58" s="106">
        <v>0</v>
      </c>
      <c r="H58" s="106">
        <v>0</v>
      </c>
      <c r="I58" s="106">
        <v>0</v>
      </c>
      <c r="J58" s="106">
        <v>0</v>
      </c>
      <c r="K58" s="106">
        <v>652.75</v>
      </c>
      <c r="L58" s="106">
        <v>1398.75</v>
      </c>
      <c r="M58" s="106"/>
      <c r="N58" s="106">
        <f t="shared" si="3"/>
        <v>2681.5</v>
      </c>
      <c r="O58" s="86">
        <f t="shared" si="4"/>
        <v>1.9176414510510738E-3</v>
      </c>
    </row>
    <row r="59" spans="1:15" s="87" customFormat="1" x14ac:dyDescent="0.25">
      <c r="A59" s="85" t="s">
        <v>171</v>
      </c>
      <c r="B59" s="106">
        <v>0</v>
      </c>
      <c r="C59" s="106">
        <v>0</v>
      </c>
      <c r="D59" s="106">
        <v>0</v>
      </c>
      <c r="E59" s="106">
        <v>0</v>
      </c>
      <c r="F59" s="106">
        <v>258</v>
      </c>
      <c r="G59" s="106">
        <v>1419</v>
      </c>
      <c r="H59" s="106">
        <v>645</v>
      </c>
      <c r="I59" s="106">
        <v>129</v>
      </c>
      <c r="J59" s="119">
        <v>0</v>
      </c>
      <c r="K59" s="119">
        <v>0</v>
      </c>
      <c r="L59" s="119">
        <v>0</v>
      </c>
      <c r="M59" s="119">
        <v>0</v>
      </c>
      <c r="N59" s="106">
        <f t="shared" si="3"/>
        <v>2451</v>
      </c>
      <c r="O59" s="86">
        <f t="shared" si="4"/>
        <v>1.7528022362581323E-3</v>
      </c>
    </row>
    <row r="60" spans="1:15" s="87" customFormat="1" x14ac:dyDescent="0.25">
      <c r="A60" s="85" t="s">
        <v>195</v>
      </c>
      <c r="B60" s="106">
        <v>210</v>
      </c>
      <c r="C60" s="106">
        <v>210</v>
      </c>
      <c r="D60" s="106">
        <v>0</v>
      </c>
      <c r="E60" s="106">
        <v>840</v>
      </c>
      <c r="F60" s="106">
        <v>420</v>
      </c>
      <c r="G60" s="106"/>
      <c r="H60" s="106">
        <v>0</v>
      </c>
      <c r="I60" s="106">
        <v>0</v>
      </c>
      <c r="J60" s="119">
        <v>0</v>
      </c>
      <c r="K60" s="119">
        <v>0</v>
      </c>
      <c r="L60" s="119">
        <v>0</v>
      </c>
      <c r="M60" s="119">
        <v>0</v>
      </c>
      <c r="N60" s="106">
        <f t="shared" si="3"/>
        <v>1680</v>
      </c>
      <c r="O60" s="86">
        <f t="shared" si="4"/>
        <v>1.2014311533715472E-3</v>
      </c>
    </row>
    <row r="61" spans="1:15" s="87" customFormat="1" x14ac:dyDescent="0.25">
      <c r="A61" s="85" t="s">
        <v>198</v>
      </c>
      <c r="B61" s="106">
        <v>11.4</v>
      </c>
      <c r="C61" s="106">
        <v>11.4</v>
      </c>
      <c r="D61" s="106">
        <v>13.2</v>
      </c>
      <c r="E61" s="106">
        <v>9</v>
      </c>
      <c r="F61" s="106">
        <v>12.6</v>
      </c>
      <c r="G61" s="106">
        <v>6.6</v>
      </c>
      <c r="H61" s="106">
        <v>0</v>
      </c>
      <c r="I61" s="106">
        <v>0</v>
      </c>
      <c r="J61" s="119">
        <v>0</v>
      </c>
      <c r="K61" s="119">
        <v>0</v>
      </c>
      <c r="L61" s="119">
        <v>0</v>
      </c>
      <c r="M61" s="119">
        <v>0</v>
      </c>
      <c r="N61" s="106">
        <f t="shared" si="3"/>
        <v>64.2</v>
      </c>
      <c r="O61" s="86">
        <f t="shared" si="4"/>
        <v>4.5911833360984131E-5</v>
      </c>
    </row>
    <row r="62" spans="1:15" x14ac:dyDescent="0.25">
      <c r="A62" s="84" t="s">
        <v>25</v>
      </c>
      <c r="B62" s="107">
        <f t="shared" ref="B62:H62" si="5">SUM(B13:B61)</f>
        <v>93116.9</v>
      </c>
      <c r="C62" s="107">
        <f t="shared" si="5"/>
        <v>87056.9</v>
      </c>
      <c r="D62" s="107">
        <f t="shared" si="5"/>
        <v>72144.2</v>
      </c>
      <c r="E62" s="107">
        <f t="shared" si="5"/>
        <v>117020.5</v>
      </c>
      <c r="F62" s="107">
        <f t="shared" si="5"/>
        <v>142316.1</v>
      </c>
      <c r="G62" s="107">
        <f t="shared" si="5"/>
        <v>149579.1</v>
      </c>
      <c r="H62" s="107">
        <f t="shared" si="5"/>
        <v>184947</v>
      </c>
      <c r="I62" s="88">
        <f>SUM(I4:I61)</f>
        <v>233085.86</v>
      </c>
      <c r="J62" s="107">
        <f t="shared" ref="J62:O62" si="6">SUM(J4:J61)</f>
        <v>119560.75</v>
      </c>
      <c r="K62" s="107">
        <f t="shared" si="6"/>
        <v>99722.5</v>
      </c>
      <c r="L62" s="107">
        <f t="shared" si="6"/>
        <v>99782.5</v>
      </c>
      <c r="M62" s="107">
        <f t="shared" si="6"/>
        <v>0</v>
      </c>
      <c r="N62" s="108">
        <f t="shared" si="6"/>
        <v>1398332.31</v>
      </c>
      <c r="O62" s="89">
        <f t="shared" si="6"/>
        <v>1</v>
      </c>
    </row>
    <row r="63" spans="1:15" x14ac:dyDescent="0.25">
      <c r="A63" s="90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109"/>
      <c r="M64" s="57"/>
      <c r="N64" s="57"/>
      <c r="O64" s="57"/>
    </row>
    <row r="65" spans="1:15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x14ac:dyDescent="0.25">
      <c r="A66" s="57" t="s">
        <v>148</v>
      </c>
      <c r="B66" s="88">
        <f>+B13+B16+B17+B18+B24+B25+B29+B30+B32+B33+B34+B37+B38+B43+B44+B45+B46+B47+B48+B49+B50+B51+B52+B53+B54+B55+B56+B57+B58+B59+B60+B14+B15</f>
        <v>78446</v>
      </c>
      <c r="C66" s="88">
        <f>+C13+C16+C17+C18+C24+C25+C29+C30+C32+C33+C34+C37+C38+C43+C44+C45+C46+C47+C48+C49+C50+C51+C52+C53+C54+C55+C56+C57+C58+C59+C60+C14+C15</f>
        <v>69277</v>
      </c>
      <c r="D66" s="107">
        <f>+D13+D16+D17+D18+D24+D25+D29+D30+D32+D33+D34+D37+D38+D43+D44+D45+D46+D47+D48+D49+D50+D51+D52+D53+D54+D55+D56+D57+D58+D59+D60+D14+D15+D26</f>
        <v>49478</v>
      </c>
      <c r="E66" s="88">
        <f>+E13+E16+E17+E18+E24+E25+E29+E30+E32+E33+E34+E37+E38+E43+E44+E45+E46+E47+E48+E49+E50+E51+E52+E53+E54+E55+E56+E57+E58+E59+E60+E14+E15</f>
        <v>97379</v>
      </c>
      <c r="F66" s="88">
        <f>+F13+F16+F17+F18+F24+F25+F29+F30+F32+F33+F34+F37+F38+F43+F44+F45+F46+F47+F48+F49+F50+F51+F52+F53+F54+F55+F56+F57+F58+F59+F60+F14+F15</f>
        <v>113088</v>
      </c>
      <c r="G66" s="88">
        <f>+G13+G16+G17+G18+G24+G25+G29+G30+G32+G33+G34+G37+G38+G43+G44+G45+G46+G47+G48+G49+G50+G51+G52+G53+G54+G55+G56+G57+G58+G59+G60+G14+G15</f>
        <v>117830</v>
      </c>
      <c r="H66" s="107">
        <f>+H13+H16+H17+H18+H24+H25+H29+H30+H32+H33+H34+H37+H38+H43+H44+H45+H46+H47+H48+H49+H50+H51+H52+H53+H54+H55+H56+H57+H58+H59+H60+H14+H15+H26</f>
        <v>132440</v>
      </c>
      <c r="I66" s="107">
        <f>+I13+I16+I17+I18+I24+I25+I29+I30+I32+I33+I34+I37+I38+I43+I44+I45+I46+I47+I48+I49+I50+I51+I52+I53+I54+I55+I56+I57+I58+I59+I60+I14+I15+I28+I4+I5+I6+I7+I8+I9+I10+I11+I12</f>
        <v>175309.25</v>
      </c>
      <c r="J66" s="107">
        <f t="shared" ref="J66:N66" si="7">+J13+J16+J17+J18+J24+J25+J29+J30+J32+J33+J34+J37+J38+J43+J44+J45+J46+J47+J48+J49+J50+J51+J52+J53+J54+J55+J56+J57+J58+J59+J60+J14+J15+J28+J4+J5+J6+J7+J8+J9+J10+J11+J12</f>
        <v>95083</v>
      </c>
      <c r="K66" s="107">
        <f t="shared" si="7"/>
        <v>82920.5</v>
      </c>
      <c r="L66" s="107">
        <f t="shared" si="7"/>
        <v>83914.75</v>
      </c>
      <c r="M66" s="107">
        <f t="shared" si="7"/>
        <v>0</v>
      </c>
      <c r="N66" s="88">
        <f t="shared" si="7"/>
        <v>1094925.5</v>
      </c>
      <c r="O66" s="57"/>
    </row>
    <row r="67" spans="1:15" s="93" customFormat="1" x14ac:dyDescent="0.25">
      <c r="A67" s="91" t="s">
        <v>149</v>
      </c>
      <c r="B67" s="92">
        <f>+B19+B20+B21+B22+B23+B27+B31+B35+B36+B39+B40+B41+B61</f>
        <v>14670.9</v>
      </c>
      <c r="C67" s="92">
        <f t="shared" ref="C67:I67" si="8">+C19+C20+C21+C22+C23+C27+C31+C35+C36+C39+C40+C41+C61</f>
        <v>17779.900000000001</v>
      </c>
      <c r="D67" s="92">
        <f t="shared" si="8"/>
        <v>22666.2</v>
      </c>
      <c r="E67" s="92">
        <f t="shared" si="8"/>
        <v>19641.5</v>
      </c>
      <c r="F67" s="92">
        <f t="shared" si="8"/>
        <v>29228.1</v>
      </c>
      <c r="G67" s="92">
        <f t="shared" si="8"/>
        <v>31749.1</v>
      </c>
      <c r="H67" s="92">
        <f t="shared" si="8"/>
        <v>52507</v>
      </c>
      <c r="I67" s="92">
        <f t="shared" si="8"/>
        <v>57776.61</v>
      </c>
      <c r="J67" s="92">
        <f t="shared" ref="J67:N67" si="9">+J19+J20+J21+J22+J23+J27+J31+J35+J36+J39+J40+J41+J61</f>
        <v>24477.75</v>
      </c>
      <c r="K67" s="92">
        <f t="shared" si="9"/>
        <v>16802</v>
      </c>
      <c r="L67" s="92">
        <f t="shared" si="9"/>
        <v>15867.75</v>
      </c>
      <c r="M67" s="92">
        <f t="shared" si="9"/>
        <v>0</v>
      </c>
      <c r="N67" s="92">
        <f t="shared" si="9"/>
        <v>303166.81</v>
      </c>
      <c r="O67" s="92"/>
    </row>
    <row r="68" spans="1:15" s="96" customFormat="1" ht="15.6" thickBot="1" x14ac:dyDescent="0.3">
      <c r="A68" s="94" t="s">
        <v>143</v>
      </c>
      <c r="B68" s="95">
        <f t="shared" ref="B68:N68" si="10">SUM(B66:B67)</f>
        <v>93116.9</v>
      </c>
      <c r="C68" s="95">
        <f t="shared" si="10"/>
        <v>87056.9</v>
      </c>
      <c r="D68" s="95">
        <f t="shared" si="10"/>
        <v>72144.2</v>
      </c>
      <c r="E68" s="95">
        <f t="shared" si="10"/>
        <v>117020.5</v>
      </c>
      <c r="F68" s="95">
        <f t="shared" si="10"/>
        <v>142316.1</v>
      </c>
      <c r="G68" s="95">
        <f t="shared" si="10"/>
        <v>149579.1</v>
      </c>
      <c r="H68" s="95">
        <f t="shared" si="10"/>
        <v>184947</v>
      </c>
      <c r="I68" s="95">
        <f t="shared" si="10"/>
        <v>233085.86</v>
      </c>
      <c r="J68" s="95">
        <f t="shared" si="10"/>
        <v>119560.75</v>
      </c>
      <c r="K68" s="95">
        <f t="shared" si="10"/>
        <v>99722.5</v>
      </c>
      <c r="L68" s="95">
        <f t="shared" si="10"/>
        <v>99782.5</v>
      </c>
      <c r="M68" s="95">
        <f t="shared" si="10"/>
        <v>0</v>
      </c>
      <c r="N68" s="95">
        <f t="shared" si="10"/>
        <v>1398092.31</v>
      </c>
      <c r="O68" s="94"/>
    </row>
    <row r="69" spans="1:15" ht="15.6" thickTop="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  <row r="70" spans="1:15" x14ac:dyDescent="0.25">
      <c r="A70" s="57"/>
      <c r="B70" s="88">
        <f t="shared" ref="B70:M70" si="11">+B68-B62</f>
        <v>0</v>
      </c>
      <c r="C70" s="88">
        <f t="shared" si="11"/>
        <v>0</v>
      </c>
      <c r="D70" s="88">
        <f t="shared" si="11"/>
        <v>0</v>
      </c>
      <c r="E70" s="88">
        <f t="shared" si="11"/>
        <v>0</v>
      </c>
      <c r="F70" s="88">
        <f t="shared" si="11"/>
        <v>0</v>
      </c>
      <c r="G70" s="88">
        <f t="shared" si="11"/>
        <v>0</v>
      </c>
      <c r="H70" s="88">
        <f t="shared" si="11"/>
        <v>0</v>
      </c>
      <c r="I70" s="88">
        <f t="shared" si="11"/>
        <v>0</v>
      </c>
      <c r="J70" s="88">
        <f t="shared" si="11"/>
        <v>0</v>
      </c>
      <c r="K70" s="88">
        <f>+K68-K62</f>
        <v>0</v>
      </c>
      <c r="L70" s="88">
        <f t="shared" si="11"/>
        <v>0</v>
      </c>
      <c r="M70" s="88">
        <f t="shared" si="11"/>
        <v>0</v>
      </c>
      <c r="N70" s="107"/>
      <c r="O70" s="57"/>
    </row>
    <row r="75" spans="1:15" x14ac:dyDescent="0.25">
      <c r="A75" s="97" t="s">
        <v>204</v>
      </c>
      <c r="B75" s="98">
        <f>+B13+B16+B17+B18+B14+B15</f>
        <v>40564</v>
      </c>
      <c r="C75" s="98">
        <f>+C13+C16+C17+C18+C14+C15</f>
        <v>34312</v>
      </c>
      <c r="D75" s="98">
        <f>+D13+D16+D17+D18+D14+D15</f>
        <v>27939</v>
      </c>
      <c r="E75" s="98">
        <f>+E13+E16+E17+E18+E14+E15</f>
        <v>47025</v>
      </c>
      <c r="F75" s="98">
        <f>+F13+F14+F15+F16+F17+F18</f>
        <v>55599</v>
      </c>
      <c r="G75" s="98">
        <f>+G13+G16+G17+G18+G14+G15</f>
        <v>49512</v>
      </c>
      <c r="H75" s="98">
        <f>+H13+H16+H17+H18+H14+H15</f>
        <v>48424</v>
      </c>
      <c r="I75" s="98">
        <f>+I13+I16+I17+I18+I14+I15+I4+I5+I6+I7+I8+I9+I10+I11+I12</f>
        <v>92765</v>
      </c>
      <c r="J75" s="98">
        <f>+J13+J16+J17+J18+J14+J15+J4+J5+J6+J7+J8+J9+J10+J11+J12</f>
        <v>33076</v>
      </c>
      <c r="K75" s="98">
        <f t="shared" ref="K75:M75" si="12">+K13+K16+K17+K18+K14+K15+K4+K5+K6+K7+K8+K9+K10+K11+K12</f>
        <v>40042.5</v>
      </c>
      <c r="L75" s="98">
        <f t="shared" si="12"/>
        <v>43029.75</v>
      </c>
      <c r="M75" s="98">
        <f t="shared" si="12"/>
        <v>0</v>
      </c>
      <c r="N75" s="98">
        <f>+N4+N5+N6+N7+N8+N9+N10+N11+N12+N13+N14+N15+N16+N17+N18</f>
        <v>512288.25</v>
      </c>
    </row>
    <row r="76" spans="1:15" x14ac:dyDescent="0.25">
      <c r="A76" s="97" t="s">
        <v>205</v>
      </c>
      <c r="B76" s="98">
        <f>+B24+B25+B26+B33+B34+B31+B61</f>
        <v>28805.9</v>
      </c>
      <c r="C76" s="98">
        <f t="shared" ref="C76:E76" si="13">+C24+C25+C26+C33+C34+C31+C61</f>
        <v>24329.9</v>
      </c>
      <c r="D76" s="98">
        <f t="shared" si="13"/>
        <v>14860.2</v>
      </c>
      <c r="E76" s="98">
        <f t="shared" si="13"/>
        <v>35213.5</v>
      </c>
      <c r="F76" s="98">
        <f>+F24+F25+F26+F27+F33+F34+F31+F61</f>
        <v>40682.1</v>
      </c>
      <c r="G76" s="98">
        <f t="shared" ref="G76:N76" si="14">+G24+G25+G26+G27+G33+G34+G31+G61</f>
        <v>47856.1</v>
      </c>
      <c r="H76" s="98">
        <f t="shared" si="14"/>
        <v>61960</v>
      </c>
      <c r="I76" s="98">
        <f t="shared" si="14"/>
        <v>62825.11</v>
      </c>
      <c r="J76" s="98">
        <f t="shared" si="14"/>
        <v>47933.75</v>
      </c>
      <c r="K76" s="98">
        <f t="shared" si="14"/>
        <v>34329</v>
      </c>
      <c r="L76" s="98">
        <f t="shared" si="14"/>
        <v>33708.25</v>
      </c>
      <c r="M76" s="98">
        <f t="shared" si="14"/>
        <v>0</v>
      </c>
      <c r="N76" s="98">
        <f t="shared" si="14"/>
        <v>432503.81</v>
      </c>
    </row>
    <row r="77" spans="1:15" x14ac:dyDescent="0.25">
      <c r="A77" s="97" t="s">
        <v>206</v>
      </c>
      <c r="B77" s="98">
        <f t="shared" ref="B77:I77" si="15">+B29+B30+B37+B38</f>
        <v>14</v>
      </c>
      <c r="C77" s="98">
        <f t="shared" si="15"/>
        <v>14</v>
      </c>
      <c r="D77" s="98">
        <f t="shared" si="15"/>
        <v>21</v>
      </c>
      <c r="E77" s="98">
        <f t="shared" si="15"/>
        <v>146</v>
      </c>
      <c r="F77" s="98">
        <f>+F29+F30+F37+F38</f>
        <v>313</v>
      </c>
      <c r="G77" s="98">
        <f t="shared" si="15"/>
        <v>288</v>
      </c>
      <c r="H77" s="98">
        <f t="shared" si="15"/>
        <v>343</v>
      </c>
      <c r="I77" s="98">
        <f t="shared" si="15"/>
        <v>384.75</v>
      </c>
      <c r="J77" s="98">
        <f t="shared" ref="J77:M77" si="16">+J29+J30+J37+J38</f>
        <v>540</v>
      </c>
      <c r="K77" s="98">
        <f t="shared" si="16"/>
        <v>85.25</v>
      </c>
      <c r="L77" s="98">
        <f t="shared" si="16"/>
        <v>46.5</v>
      </c>
      <c r="M77" s="98">
        <f t="shared" si="16"/>
        <v>0</v>
      </c>
      <c r="N77" s="98">
        <f>+N29+N30+N37+N38</f>
        <v>2195.5</v>
      </c>
    </row>
    <row r="78" spans="1:15" x14ac:dyDescent="0.25">
      <c r="A78" s="97" t="s">
        <v>207</v>
      </c>
      <c r="B78" s="98">
        <f t="shared" ref="B78:H78" si="17">+B43+B44+B45+B46+B47+B48+B49+B50+B51+B52+B53+B54+B55+B56+B57+B58+B59+B60+B28+B32</f>
        <v>9178</v>
      </c>
      <c r="C78" s="98">
        <f t="shared" si="17"/>
        <v>10737</v>
      </c>
      <c r="D78" s="98">
        <f t="shared" si="17"/>
        <v>6792</v>
      </c>
      <c r="E78" s="98">
        <f t="shared" si="17"/>
        <v>15086</v>
      </c>
      <c r="F78" s="98">
        <f>+F28+F32+F43+F44+F45+F46+F47+F48+F49+F50+F51+F52+F53+F54+F55+F56+F57+F58+F59+F60</f>
        <v>16784</v>
      </c>
      <c r="G78" s="98">
        <f>+G28+G32+G43+G44+G45+G46+G47+G48+G49+G50+G51+G52+G53+G54+G55+G56+G57+G58+G59+G60</f>
        <v>20489</v>
      </c>
      <c r="H78" s="98">
        <f t="shared" si="17"/>
        <v>21867</v>
      </c>
      <c r="I78" s="98">
        <f>+I43+I44+I45+I46+I47+I48+I49+I50+I51+I52+I53+I54+I55+I56+I57+I58+I59+I60+I28+I32</f>
        <v>20360</v>
      </c>
      <c r="J78" s="98">
        <f>+J43+J44+J45+J46+J47+J48+J49+J50+J51+J52+J53+J54+J55+J56+J57+J58+J59+J60+J28+J32</f>
        <v>13751.25</v>
      </c>
      <c r="K78" s="98">
        <f t="shared" ref="K78:M78" si="18">+K43+K44+K45+K46+K47+K48+K49+K50+K51+K52+K53+K54+K55+K56+K57+K58+K59+K60+K28+K32</f>
        <v>10047</v>
      </c>
      <c r="L78" s="98">
        <f t="shared" si="18"/>
        <v>8130.25</v>
      </c>
      <c r="M78" s="98">
        <f t="shared" si="18"/>
        <v>0</v>
      </c>
      <c r="N78" s="98">
        <f>+N28+N32+N43+N44+N45+N46+N47+N48+N49+N50+N51+N52+N53+N54+N55+N56+N57+N58+N59+N60</f>
        <v>153221.5</v>
      </c>
    </row>
    <row r="79" spans="1:15" x14ac:dyDescent="0.25">
      <c r="A79" s="97" t="s">
        <v>208</v>
      </c>
      <c r="B79" s="98">
        <f t="shared" ref="B79:H79" si="19">+B21+B39</f>
        <v>8673</v>
      </c>
      <c r="C79" s="98">
        <f t="shared" si="19"/>
        <v>11606</v>
      </c>
      <c r="D79" s="98">
        <f t="shared" si="19"/>
        <v>14518</v>
      </c>
      <c r="E79" s="98">
        <f t="shared" si="19"/>
        <v>9898</v>
      </c>
      <c r="F79" s="98">
        <f t="shared" si="19"/>
        <v>14375</v>
      </c>
      <c r="G79" s="98">
        <f t="shared" si="19"/>
        <v>11807</v>
      </c>
      <c r="H79" s="98">
        <f t="shared" si="19"/>
        <v>17775</v>
      </c>
      <c r="I79" s="98">
        <f>+I21+I39</f>
        <v>26821.5</v>
      </c>
      <c r="J79" s="98">
        <f>+J21+J39</f>
        <v>7150.75</v>
      </c>
      <c r="K79" s="98">
        <f t="shared" ref="K79:M79" si="20">+K21+K39</f>
        <v>6759</v>
      </c>
      <c r="L79" s="98">
        <f t="shared" si="20"/>
        <v>6897.25</v>
      </c>
      <c r="M79" s="98">
        <f t="shared" si="20"/>
        <v>0</v>
      </c>
      <c r="N79" s="98">
        <f>+N21+N39</f>
        <v>136280.5</v>
      </c>
    </row>
    <row r="80" spans="1:15" x14ac:dyDescent="0.25">
      <c r="A80" s="97" t="s">
        <v>209</v>
      </c>
      <c r="B80" s="98">
        <f t="shared" ref="B80:H80" si="21">+B22+B23+B35+B36</f>
        <v>5882</v>
      </c>
      <c r="C80" s="98">
        <f t="shared" si="21"/>
        <v>6058</v>
      </c>
      <c r="D80" s="98">
        <f t="shared" si="21"/>
        <v>8014</v>
      </c>
      <c r="E80" s="98">
        <f t="shared" si="21"/>
        <v>9652</v>
      </c>
      <c r="F80" s="98">
        <f>+F22+F23+F35+F36</f>
        <v>14563</v>
      </c>
      <c r="G80" s="98">
        <f t="shared" si="21"/>
        <v>19627</v>
      </c>
      <c r="H80" s="98">
        <f t="shared" si="21"/>
        <v>34578</v>
      </c>
      <c r="I80" s="98">
        <f>+I22+I23+I35+I36</f>
        <v>28251</v>
      </c>
      <c r="J80" s="98">
        <f>+J22+J23+J35+J36</f>
        <v>14982.75</v>
      </c>
      <c r="K80" s="98">
        <f t="shared" ref="K80:M80" si="22">+K22+K23+K35+K36</f>
        <v>7611.75</v>
      </c>
      <c r="L80" s="98">
        <f t="shared" si="22"/>
        <v>7780.5</v>
      </c>
      <c r="M80" s="98">
        <f t="shared" si="22"/>
        <v>0</v>
      </c>
      <c r="N80" s="98">
        <f>+N22+N23+N35+N36</f>
        <v>157000</v>
      </c>
    </row>
    <row r="81" spans="1:14" x14ac:dyDescent="0.25">
      <c r="A81" s="97" t="s">
        <v>210</v>
      </c>
      <c r="B81" s="98">
        <f t="shared" ref="B81:H81" si="23">+B19+B20+B40+B41</f>
        <v>0</v>
      </c>
      <c r="C81" s="98">
        <f t="shared" si="23"/>
        <v>0</v>
      </c>
      <c r="D81" s="98">
        <f t="shared" si="23"/>
        <v>0</v>
      </c>
      <c r="E81" s="98">
        <f t="shared" si="23"/>
        <v>0</v>
      </c>
      <c r="F81" s="98">
        <f t="shared" si="23"/>
        <v>0</v>
      </c>
      <c r="G81" s="98">
        <f t="shared" si="23"/>
        <v>0</v>
      </c>
      <c r="H81" s="98">
        <f t="shared" si="23"/>
        <v>0</v>
      </c>
      <c r="I81" s="98">
        <f>+I19+I20+I40+I41</f>
        <v>1678.5</v>
      </c>
      <c r="J81" s="98">
        <f>+J19+J20+J40+J41</f>
        <v>2126.25</v>
      </c>
      <c r="K81" s="98">
        <f t="shared" ref="K81:M81" si="24">+K19+K20+K40+K41</f>
        <v>848</v>
      </c>
      <c r="L81" s="98">
        <f t="shared" si="24"/>
        <v>190</v>
      </c>
      <c r="M81" s="98">
        <f t="shared" si="24"/>
        <v>0</v>
      </c>
      <c r="N81" s="98">
        <f>+N19+N20+N40+N41</f>
        <v>4842.75</v>
      </c>
    </row>
    <row r="82" spans="1:14" x14ac:dyDescent="0.25">
      <c r="A82" s="115"/>
      <c r="B82" s="116"/>
      <c r="C82" s="116"/>
      <c r="D82" s="116"/>
      <c r="E82" s="116"/>
      <c r="F82" s="116"/>
      <c r="G82" s="116"/>
      <c r="H82" s="116"/>
      <c r="I82" s="116"/>
      <c r="J82" s="116"/>
      <c r="K82" s="107"/>
      <c r="L82" s="107"/>
      <c r="M82" s="107"/>
      <c r="N82" s="107"/>
    </row>
    <row r="83" spans="1:14" x14ac:dyDescent="0.25">
      <c r="A83" s="117"/>
      <c r="B83" s="116">
        <f>(SUM(B75:B81))-B62</f>
        <v>0</v>
      </c>
      <c r="C83" s="116">
        <f t="shared" ref="C83:N83" si="25">(SUM(C75:C81))-C62</f>
        <v>0</v>
      </c>
      <c r="D83" s="116">
        <f t="shared" si="25"/>
        <v>0</v>
      </c>
      <c r="E83" s="116">
        <f t="shared" si="25"/>
        <v>0</v>
      </c>
      <c r="F83" s="116">
        <f t="shared" si="25"/>
        <v>0</v>
      </c>
      <c r="G83" s="116">
        <f t="shared" si="25"/>
        <v>0</v>
      </c>
      <c r="H83" s="116">
        <f t="shared" si="25"/>
        <v>0</v>
      </c>
      <c r="I83" s="116">
        <f t="shared" si="25"/>
        <v>0</v>
      </c>
      <c r="J83" s="116">
        <f t="shared" si="25"/>
        <v>0</v>
      </c>
      <c r="K83" s="116">
        <f t="shared" si="25"/>
        <v>0</v>
      </c>
      <c r="L83" s="116">
        <f t="shared" si="25"/>
        <v>0</v>
      </c>
      <c r="M83" s="116">
        <f t="shared" si="25"/>
        <v>0</v>
      </c>
      <c r="N83" s="116">
        <f t="shared" si="25"/>
        <v>0</v>
      </c>
    </row>
    <row r="84" spans="1:14" x14ac:dyDescent="0.25">
      <c r="A84" s="118"/>
      <c r="B84" s="116"/>
      <c r="C84" s="116"/>
      <c r="D84" s="116"/>
      <c r="E84" s="116"/>
      <c r="F84" s="116"/>
      <c r="G84" s="116"/>
      <c r="H84" s="116"/>
      <c r="I84" s="116"/>
      <c r="J84" s="115"/>
      <c r="N84" s="88"/>
    </row>
    <row r="85" spans="1:14" x14ac:dyDescent="0.25">
      <c r="A85" s="115"/>
      <c r="B85" s="116"/>
      <c r="C85" s="116"/>
      <c r="D85" s="116"/>
      <c r="E85" s="116"/>
      <c r="F85" s="116"/>
      <c r="G85" s="116"/>
      <c r="H85" s="116"/>
      <c r="I85" s="116"/>
      <c r="J85" s="115"/>
      <c r="N85" s="114"/>
    </row>
  </sheetData>
  <printOptions headings="1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4"/>
  <sheetViews>
    <sheetView zoomScale="110" zoomScaleNormal="110" workbookViewId="0">
      <pane xSplit="1" ySplit="3" topLeftCell="J48" activePane="bottomRight" state="frozen"/>
      <selection pane="topRight" activeCell="B1" sqref="B1"/>
      <selection pane="bottomLeft" activeCell="A4" sqref="A4"/>
      <selection pane="bottomRight" activeCell="L18" sqref="L18"/>
    </sheetView>
  </sheetViews>
  <sheetFormatPr defaultColWidth="8.33203125" defaultRowHeight="15.6" x14ac:dyDescent="0.3"/>
  <cols>
    <col min="1" max="1" width="29.08203125" style="67" bestFit="1" customWidth="1"/>
    <col min="2" max="2" width="12.33203125" style="67" customWidth="1"/>
    <col min="3" max="3" width="10.4140625" style="67" customWidth="1"/>
    <col min="4" max="4" width="11.58203125" style="67" customWidth="1"/>
    <col min="5" max="5" width="13.33203125" style="67" customWidth="1"/>
    <col min="6" max="6" width="11.75" style="67" customWidth="1"/>
    <col min="7" max="7" width="10.9140625" style="67" customWidth="1"/>
    <col min="8" max="8" width="10.58203125" style="67" customWidth="1"/>
    <col min="9" max="9" width="11.58203125" style="67" customWidth="1"/>
    <col min="10" max="10" width="13.6640625" style="67" customWidth="1"/>
    <col min="11" max="11" width="13" style="67" customWidth="1"/>
    <col min="12" max="12" width="13.6640625" style="67" customWidth="1"/>
    <col min="13" max="13" width="11.4140625" style="67" customWidth="1"/>
    <col min="14" max="14" width="20.6640625" style="67" customWidth="1"/>
    <col min="15" max="16384" width="8.33203125" style="67"/>
  </cols>
  <sheetData>
    <row r="1" spans="1:15" x14ac:dyDescent="0.3">
      <c r="A1" s="65" t="s">
        <v>221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idden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x14ac:dyDescent="0.3">
      <c r="A3" s="68"/>
      <c r="B3" s="69" t="s">
        <v>26</v>
      </c>
      <c r="C3" s="69" t="s">
        <v>27</v>
      </c>
      <c r="D3" s="69" t="s">
        <v>28</v>
      </c>
      <c r="E3" s="69" t="s">
        <v>29</v>
      </c>
      <c r="F3" s="69" t="s">
        <v>30</v>
      </c>
      <c r="G3" s="69" t="s">
        <v>31</v>
      </c>
      <c r="H3" s="70" t="s">
        <v>32</v>
      </c>
      <c r="I3" s="70" t="s">
        <v>33</v>
      </c>
      <c r="J3" s="70" t="s">
        <v>34</v>
      </c>
      <c r="K3" s="70" t="s">
        <v>35</v>
      </c>
      <c r="L3" s="70" t="s">
        <v>36</v>
      </c>
      <c r="M3" s="69" t="s">
        <v>37</v>
      </c>
      <c r="N3" s="69" t="s">
        <v>25</v>
      </c>
      <c r="O3" s="69" t="s">
        <v>38</v>
      </c>
    </row>
    <row r="4" spans="1:15" s="74" customFormat="1" x14ac:dyDescent="0.3">
      <c r="A4" s="71" t="s">
        <v>223</v>
      </c>
      <c r="B4" s="72">
        <v>640</v>
      </c>
      <c r="C4" s="72">
        <v>80</v>
      </c>
      <c r="D4" s="72">
        <v>400</v>
      </c>
      <c r="E4" s="72">
        <v>320</v>
      </c>
      <c r="F4" s="72">
        <f>500+80</f>
        <v>580</v>
      </c>
      <c r="G4" s="72">
        <v>500</v>
      </c>
      <c r="H4" s="72"/>
      <c r="I4" s="72">
        <v>300</v>
      </c>
      <c r="J4" s="72"/>
      <c r="K4" s="72">
        <v>240</v>
      </c>
      <c r="L4" s="72">
        <v>320</v>
      </c>
      <c r="M4" s="72">
        <v>400</v>
      </c>
      <c r="N4" s="72">
        <f t="shared" ref="N4:N51" si="0">SUM(B4:M4)</f>
        <v>3780</v>
      </c>
      <c r="O4" s="73">
        <f t="shared" ref="O4:O35" si="1">N4/$N$53</f>
        <v>4.1272187895456895E-3</v>
      </c>
    </row>
    <row r="5" spans="1:15" s="74" customFormat="1" x14ac:dyDescent="0.3">
      <c r="A5" s="71" t="s">
        <v>222</v>
      </c>
      <c r="B5" s="72">
        <v>350</v>
      </c>
      <c r="C5" s="72">
        <v>280</v>
      </c>
      <c r="D5" s="72">
        <v>350</v>
      </c>
      <c r="E5" s="72">
        <v>210</v>
      </c>
      <c r="F5" s="72">
        <f>360+70</f>
        <v>430</v>
      </c>
      <c r="G5" s="72">
        <v>360</v>
      </c>
      <c r="H5" s="72">
        <v>180</v>
      </c>
      <c r="I5" s="72">
        <v>180</v>
      </c>
      <c r="J5" s="72"/>
      <c r="K5" s="72">
        <v>140</v>
      </c>
      <c r="L5" s="72">
        <v>280</v>
      </c>
      <c r="M5" s="72">
        <v>140</v>
      </c>
      <c r="N5" s="72">
        <f t="shared" si="0"/>
        <v>2900</v>
      </c>
      <c r="O5" s="73">
        <f t="shared" si="1"/>
        <v>3.1663847856302908E-3</v>
      </c>
    </row>
    <row r="6" spans="1:15" s="74" customFormat="1" x14ac:dyDescent="0.3">
      <c r="A6" s="71" t="s">
        <v>214</v>
      </c>
      <c r="B6" s="72">
        <v>14552</v>
      </c>
      <c r="C6" s="72">
        <v>12376</v>
      </c>
      <c r="D6" s="72">
        <v>10744</v>
      </c>
      <c r="E6" s="72">
        <v>14144</v>
      </c>
      <c r="F6" s="72">
        <v>14688</v>
      </c>
      <c r="G6" s="72">
        <v>15096</v>
      </c>
      <c r="H6" s="72">
        <v>11424</v>
      </c>
      <c r="I6" s="72">
        <v>14824</v>
      </c>
      <c r="J6" s="72">
        <v>7752</v>
      </c>
      <c r="K6" s="72">
        <v>3536</v>
      </c>
      <c r="L6" s="72">
        <v>11424</v>
      </c>
      <c r="M6" s="72">
        <v>14144</v>
      </c>
      <c r="N6" s="72">
        <f t="shared" si="0"/>
        <v>144704</v>
      </c>
      <c r="O6" s="73">
        <f t="shared" si="1"/>
        <v>0.15799604966201572</v>
      </c>
    </row>
    <row r="7" spans="1:15" s="74" customFormat="1" x14ac:dyDescent="0.3">
      <c r="A7" s="71" t="s">
        <v>110</v>
      </c>
      <c r="B7" s="75">
        <v>170</v>
      </c>
      <c r="C7" s="75"/>
      <c r="D7" s="75"/>
      <c r="E7" s="75">
        <v>170</v>
      </c>
      <c r="F7" s="75">
        <v>255</v>
      </c>
      <c r="G7" s="75">
        <v>85</v>
      </c>
      <c r="H7" s="75">
        <v>170</v>
      </c>
      <c r="I7" s="75">
        <v>170</v>
      </c>
      <c r="J7" s="75">
        <v>85</v>
      </c>
      <c r="K7" s="75">
        <v>85</v>
      </c>
      <c r="L7" s="75"/>
      <c r="M7" s="75"/>
      <c r="N7" s="72">
        <f t="shared" si="0"/>
        <v>1190</v>
      </c>
      <c r="O7" s="73">
        <f t="shared" si="1"/>
        <v>1.2993096189310503E-3</v>
      </c>
    </row>
    <row r="8" spans="1:15" s="74" customFormat="1" x14ac:dyDescent="0.3">
      <c r="A8" s="71" t="s">
        <v>215</v>
      </c>
      <c r="B8" s="75">
        <v>7973</v>
      </c>
      <c r="C8" s="75">
        <v>8687</v>
      </c>
      <c r="D8" s="75">
        <v>7378</v>
      </c>
      <c r="E8" s="75">
        <v>12614</v>
      </c>
      <c r="F8" s="75">
        <v>12733</v>
      </c>
      <c r="G8" s="75">
        <v>11900</v>
      </c>
      <c r="H8" s="75">
        <v>11067</v>
      </c>
      <c r="I8" s="75">
        <v>11900</v>
      </c>
      <c r="J8" s="75">
        <v>6902</v>
      </c>
      <c r="K8" s="75">
        <v>4284</v>
      </c>
      <c r="L8" s="75">
        <v>9282</v>
      </c>
      <c r="M8" s="75">
        <v>8806</v>
      </c>
      <c r="N8" s="72">
        <f t="shared" si="0"/>
        <v>113526</v>
      </c>
      <c r="O8" s="73">
        <f t="shared" si="1"/>
        <v>0.1239541376460222</v>
      </c>
    </row>
    <row r="9" spans="1:15" s="74" customFormat="1" x14ac:dyDescent="0.3">
      <c r="A9" s="71" t="s">
        <v>216</v>
      </c>
      <c r="B9" s="75"/>
      <c r="C9" s="75"/>
      <c r="D9" s="75"/>
      <c r="E9" s="75"/>
      <c r="F9" s="75">
        <v>68</v>
      </c>
      <c r="G9" s="75"/>
      <c r="H9" s="75"/>
      <c r="I9" s="75"/>
      <c r="J9" s="75"/>
      <c r="K9" s="75"/>
      <c r="L9" s="75"/>
      <c r="M9" s="75"/>
      <c r="N9" s="72">
        <f t="shared" si="0"/>
        <v>68</v>
      </c>
      <c r="O9" s="73">
        <f t="shared" si="1"/>
        <v>7.4246263938917157E-5</v>
      </c>
    </row>
    <row r="10" spans="1:15" s="74" customFormat="1" x14ac:dyDescent="0.3">
      <c r="A10" s="71" t="s">
        <v>156</v>
      </c>
      <c r="B10" s="76"/>
      <c r="C10" s="76"/>
      <c r="D10" s="76"/>
      <c r="E10" s="76"/>
      <c r="F10" s="76">
        <v>351</v>
      </c>
      <c r="G10" s="76">
        <v>774</v>
      </c>
      <c r="H10" s="76">
        <v>1687.5</v>
      </c>
      <c r="I10" s="76">
        <v>1354.5</v>
      </c>
      <c r="J10" s="76">
        <v>1003.5</v>
      </c>
      <c r="K10" s="76"/>
      <c r="L10" s="76"/>
      <c r="M10" s="76"/>
      <c r="N10" s="72">
        <f t="shared" si="0"/>
        <v>5170.5</v>
      </c>
      <c r="O10" s="73">
        <f t="shared" si="1"/>
        <v>5.6454457014142824E-3</v>
      </c>
    </row>
    <row r="11" spans="1:15" s="74" customFormat="1" x14ac:dyDescent="0.3">
      <c r="A11" s="71" t="s">
        <v>184</v>
      </c>
      <c r="B11" s="76">
        <v>101.5</v>
      </c>
      <c r="C11" s="76">
        <v>101.5</v>
      </c>
      <c r="D11" s="76">
        <v>248.5</v>
      </c>
      <c r="E11" s="76">
        <v>367.5</v>
      </c>
      <c r="F11" s="76">
        <v>241.5</v>
      </c>
      <c r="G11" s="76"/>
      <c r="H11" s="76"/>
      <c r="I11" s="76"/>
      <c r="J11" s="76"/>
      <c r="K11" s="76">
        <v>315</v>
      </c>
      <c r="L11" s="76">
        <v>157.5</v>
      </c>
      <c r="M11" s="76">
        <v>108.5</v>
      </c>
      <c r="N11" s="76">
        <f t="shared" si="0"/>
        <v>1641.5</v>
      </c>
      <c r="O11" s="73">
        <f t="shared" si="1"/>
        <v>1.7922829743490076E-3</v>
      </c>
    </row>
    <row r="12" spans="1:15" s="74" customFormat="1" x14ac:dyDescent="0.3">
      <c r="A12" s="71" t="s">
        <v>111</v>
      </c>
      <c r="B12" s="76">
        <v>2862</v>
      </c>
      <c r="C12" s="76">
        <v>3604</v>
      </c>
      <c r="D12" s="76">
        <v>3816</v>
      </c>
      <c r="E12" s="76">
        <v>3339</v>
      </c>
      <c r="F12" s="76">
        <v>5512</v>
      </c>
      <c r="G12" s="76">
        <v>4346</v>
      </c>
      <c r="H12" s="76">
        <v>4876</v>
      </c>
      <c r="I12" s="76">
        <v>5300</v>
      </c>
      <c r="J12" s="76">
        <v>6466</v>
      </c>
      <c r="K12" s="76">
        <v>6095</v>
      </c>
      <c r="L12" s="76">
        <v>2809</v>
      </c>
      <c r="M12" s="76">
        <v>3498</v>
      </c>
      <c r="N12" s="76">
        <f t="shared" si="0"/>
        <v>52523</v>
      </c>
      <c r="O12" s="73">
        <f t="shared" si="1"/>
        <v>5.7347595895055087E-2</v>
      </c>
    </row>
    <row r="13" spans="1:15" s="74" customFormat="1" x14ac:dyDescent="0.3">
      <c r="A13" s="71" t="s">
        <v>157</v>
      </c>
      <c r="B13" s="76"/>
      <c r="C13" s="76"/>
      <c r="D13" s="76"/>
      <c r="E13" s="76"/>
      <c r="F13" s="76">
        <v>4844</v>
      </c>
      <c r="G13" s="76">
        <v>10087</v>
      </c>
      <c r="H13" s="76">
        <v>15981</v>
      </c>
      <c r="I13" s="76">
        <v>15956</v>
      </c>
      <c r="J13" s="76">
        <v>9260</v>
      </c>
      <c r="K13" s="76"/>
      <c r="L13" s="76"/>
      <c r="M13" s="76"/>
      <c r="N13" s="76">
        <f t="shared" si="0"/>
        <v>56128</v>
      </c>
      <c r="O13" s="73">
        <f t="shared" si="1"/>
        <v>6.1283739740640331E-2</v>
      </c>
    </row>
    <row r="14" spans="1:15" s="74" customFormat="1" x14ac:dyDescent="0.3">
      <c r="A14" s="71" t="s">
        <v>180</v>
      </c>
      <c r="B14" s="76">
        <v>3837.5</v>
      </c>
      <c r="C14" s="76">
        <v>3960</v>
      </c>
      <c r="D14" s="76">
        <v>4792.5</v>
      </c>
      <c r="E14" s="76">
        <v>5332.5</v>
      </c>
      <c r="F14" s="76">
        <v>3687.5</v>
      </c>
      <c r="G14" s="76"/>
      <c r="H14" s="76"/>
      <c r="I14" s="76"/>
      <c r="J14" s="76"/>
      <c r="K14" s="76">
        <v>5527.5</v>
      </c>
      <c r="L14" s="76">
        <v>4687.5</v>
      </c>
      <c r="M14" s="76">
        <v>4807.5</v>
      </c>
      <c r="N14" s="76">
        <f t="shared" si="0"/>
        <v>36632.5</v>
      </c>
      <c r="O14" s="73">
        <f t="shared" si="1"/>
        <v>3.9997445055035045E-2</v>
      </c>
    </row>
    <row r="15" spans="1:15" s="74" customFormat="1" x14ac:dyDescent="0.3">
      <c r="A15" s="71" t="s">
        <v>113</v>
      </c>
      <c r="B15" s="76"/>
      <c r="C15" s="76"/>
      <c r="D15" s="76"/>
      <c r="E15" s="76"/>
      <c r="F15" s="76">
        <v>10780</v>
      </c>
      <c r="G15" s="76">
        <v>28090</v>
      </c>
      <c r="H15" s="76">
        <v>37510</v>
      </c>
      <c r="I15" s="76">
        <v>39210</v>
      </c>
      <c r="J15" s="76">
        <v>21760</v>
      </c>
      <c r="K15" s="76"/>
      <c r="L15" s="76"/>
      <c r="M15" s="76"/>
      <c r="N15" s="76">
        <f t="shared" si="0"/>
        <v>137350</v>
      </c>
      <c r="O15" s="73">
        <f t="shared" si="1"/>
        <v>0.14996653458838635</v>
      </c>
    </row>
    <row r="16" spans="1:15" s="74" customFormat="1" x14ac:dyDescent="0.3">
      <c r="A16" s="71" t="s">
        <v>179</v>
      </c>
      <c r="B16" s="76">
        <v>17304</v>
      </c>
      <c r="C16" s="76">
        <v>16488</v>
      </c>
      <c r="D16" s="76">
        <v>15688</v>
      </c>
      <c r="E16" s="76">
        <v>21680</v>
      </c>
      <c r="F16" s="76">
        <v>13160</v>
      </c>
      <c r="G16" s="76"/>
      <c r="H16" s="76"/>
      <c r="I16" s="76"/>
      <c r="J16" s="76"/>
      <c r="K16" s="76">
        <v>4256</v>
      </c>
      <c r="L16" s="76">
        <v>19408</v>
      </c>
      <c r="M16" s="76">
        <v>19240</v>
      </c>
      <c r="N16" s="76">
        <f t="shared" si="0"/>
        <v>127224</v>
      </c>
      <c r="O16" s="73">
        <f t="shared" si="1"/>
        <v>0.13891039240242348</v>
      </c>
    </row>
    <row r="17" spans="1:15" s="74" customFormat="1" x14ac:dyDescent="0.3">
      <c r="A17" s="71" t="s">
        <v>114</v>
      </c>
      <c r="B17" s="76"/>
      <c r="C17" s="76">
        <v>100</v>
      </c>
      <c r="D17" s="76"/>
      <c r="E17" s="76"/>
      <c r="F17" s="76">
        <v>550</v>
      </c>
      <c r="G17" s="76"/>
      <c r="H17" s="76">
        <v>100</v>
      </c>
      <c r="I17" s="76">
        <v>650</v>
      </c>
      <c r="J17" s="76">
        <v>200</v>
      </c>
      <c r="K17" s="76">
        <v>450</v>
      </c>
      <c r="L17" s="76">
        <v>450</v>
      </c>
      <c r="M17" s="76">
        <v>100</v>
      </c>
      <c r="N17" s="76">
        <f t="shared" si="0"/>
        <v>2600</v>
      </c>
      <c r="O17" s="73">
        <f t="shared" si="1"/>
        <v>2.8388277388409502E-3</v>
      </c>
    </row>
    <row r="18" spans="1:15" s="74" customFormat="1" x14ac:dyDescent="0.3">
      <c r="A18" s="71" t="s">
        <v>7</v>
      </c>
      <c r="B18" s="76"/>
      <c r="C18" s="76">
        <v>160</v>
      </c>
      <c r="D18" s="76"/>
      <c r="E18" s="76"/>
      <c r="F18" s="76"/>
      <c r="G18" s="76"/>
      <c r="H18" s="76"/>
      <c r="I18" s="76"/>
      <c r="J18" s="76"/>
      <c r="K18" s="76"/>
      <c r="L18" s="76">
        <v>160</v>
      </c>
      <c r="M18" s="76"/>
      <c r="N18" s="76">
        <f t="shared" ref="N18" si="2">SUM(B18:M18)</f>
        <v>320</v>
      </c>
      <c r="O18" s="73">
        <f t="shared" si="1"/>
        <v>3.493941832419631E-4</v>
      </c>
    </row>
    <row r="19" spans="1:15" s="74" customFormat="1" x14ac:dyDescent="0.3">
      <c r="A19" s="71" t="s">
        <v>158</v>
      </c>
      <c r="B19" s="76"/>
      <c r="C19" s="76"/>
      <c r="D19" s="76"/>
      <c r="E19" s="76"/>
      <c r="F19" s="76">
        <v>98</v>
      </c>
      <c r="G19" s="76">
        <v>406</v>
      </c>
      <c r="H19" s="76">
        <v>805</v>
      </c>
      <c r="I19" s="76">
        <v>672</v>
      </c>
      <c r="J19" s="76">
        <v>574</v>
      </c>
      <c r="K19" s="76"/>
      <c r="L19" s="76"/>
      <c r="M19" s="76"/>
      <c r="N19" s="76">
        <f t="shared" si="0"/>
        <v>2555</v>
      </c>
      <c r="O19" s="73">
        <f t="shared" si="1"/>
        <v>2.7896941818225493E-3</v>
      </c>
    </row>
    <row r="20" spans="1:15" s="74" customFormat="1" x14ac:dyDescent="0.3">
      <c r="A20" s="71" t="s">
        <v>185</v>
      </c>
      <c r="B20" s="76">
        <v>65</v>
      </c>
      <c r="C20" s="76">
        <v>45</v>
      </c>
      <c r="D20" s="76">
        <v>45</v>
      </c>
      <c r="E20" s="76">
        <v>245</v>
      </c>
      <c r="F20" s="76">
        <v>175</v>
      </c>
      <c r="G20" s="76"/>
      <c r="H20" s="76"/>
      <c r="I20" s="76"/>
      <c r="J20" s="76"/>
      <c r="K20" s="76">
        <v>85</v>
      </c>
      <c r="L20" s="76">
        <v>95</v>
      </c>
      <c r="M20" s="76">
        <v>45</v>
      </c>
      <c r="N20" s="76">
        <f t="shared" si="0"/>
        <v>800</v>
      </c>
      <c r="O20" s="73">
        <f t="shared" si="1"/>
        <v>8.7348545810490776E-4</v>
      </c>
    </row>
    <row r="21" spans="1:15" s="74" customFormat="1" x14ac:dyDescent="0.3">
      <c r="A21" s="71" t="s">
        <v>10</v>
      </c>
      <c r="B21" s="76">
        <v>99</v>
      </c>
      <c r="C21" s="76">
        <v>99</v>
      </c>
      <c r="D21" s="76">
        <v>104.5</v>
      </c>
      <c r="E21" s="76">
        <v>99</v>
      </c>
      <c r="F21" s="76">
        <v>110</v>
      </c>
      <c r="G21" s="76">
        <v>71.5</v>
      </c>
      <c r="H21" s="76"/>
      <c r="I21" s="76"/>
      <c r="J21" s="76">
        <v>110</v>
      </c>
      <c r="K21" s="76">
        <v>121</v>
      </c>
      <c r="L21" s="76">
        <v>93.5</v>
      </c>
      <c r="M21" s="76">
        <v>82.5</v>
      </c>
      <c r="N21" s="76">
        <f>SUM(B21:M21)</f>
        <v>990</v>
      </c>
      <c r="O21" s="73">
        <f t="shared" si="1"/>
        <v>1.0809382544048234E-3</v>
      </c>
    </row>
    <row r="22" spans="1:15" s="74" customFormat="1" x14ac:dyDescent="0.3">
      <c r="A22" s="71" t="s">
        <v>11</v>
      </c>
      <c r="B22" s="76"/>
      <c r="C22" s="76"/>
      <c r="D22" s="76"/>
      <c r="E22" s="76"/>
      <c r="F22" s="76">
        <v>5</v>
      </c>
      <c r="G22" s="76"/>
      <c r="H22" s="76">
        <v>10</v>
      </c>
      <c r="I22" s="76">
        <v>5</v>
      </c>
      <c r="J22" s="76">
        <v>5</v>
      </c>
      <c r="K22" s="76"/>
      <c r="L22" s="76">
        <v>5</v>
      </c>
      <c r="M22" s="76"/>
      <c r="N22" s="76">
        <f t="shared" si="0"/>
        <v>30</v>
      </c>
      <c r="O22" s="73">
        <f t="shared" si="1"/>
        <v>3.2755704678934041E-5</v>
      </c>
    </row>
    <row r="23" spans="1:15" s="74" customFormat="1" x14ac:dyDescent="0.3">
      <c r="A23" s="71" t="s">
        <v>159</v>
      </c>
      <c r="B23" s="76"/>
      <c r="C23" s="76"/>
      <c r="D23" s="76"/>
      <c r="E23" s="76"/>
      <c r="F23" s="76">
        <v>2322</v>
      </c>
      <c r="G23" s="76">
        <v>7308</v>
      </c>
      <c r="H23" s="76">
        <v>9684</v>
      </c>
      <c r="I23" s="76">
        <v>9909</v>
      </c>
      <c r="J23" s="76">
        <v>5796</v>
      </c>
      <c r="K23" s="76"/>
      <c r="L23" s="76"/>
      <c r="M23" s="76"/>
      <c r="N23" s="76">
        <f>SUM(B23:M23)</f>
        <v>35019</v>
      </c>
      <c r="O23" s="73">
        <f t="shared" si="1"/>
        <v>3.8235734071719707E-2</v>
      </c>
    </row>
    <row r="24" spans="1:15" s="74" customFormat="1" x14ac:dyDescent="0.3">
      <c r="A24" s="71" t="s">
        <v>181</v>
      </c>
      <c r="B24" s="76">
        <v>4711</v>
      </c>
      <c r="C24" s="76">
        <v>3962</v>
      </c>
      <c r="D24" s="76">
        <v>4606</v>
      </c>
      <c r="E24" s="76">
        <v>6244</v>
      </c>
      <c r="F24" s="76">
        <v>4172</v>
      </c>
      <c r="G24" s="76"/>
      <c r="H24" s="76"/>
      <c r="I24" s="76"/>
      <c r="J24" s="76"/>
      <c r="K24" s="76">
        <v>1204</v>
      </c>
      <c r="L24" s="76">
        <v>4214</v>
      </c>
      <c r="M24" s="76">
        <v>4543</v>
      </c>
      <c r="N24" s="76">
        <f>SUM(B24:M24)</f>
        <v>33656</v>
      </c>
      <c r="O24" s="73">
        <f t="shared" si="1"/>
        <v>3.6747533222473469E-2</v>
      </c>
    </row>
    <row r="25" spans="1:15" s="74" customFormat="1" x14ac:dyDescent="0.3">
      <c r="A25" s="71" t="s">
        <v>211</v>
      </c>
      <c r="B25" s="76"/>
      <c r="C25" s="76"/>
      <c r="D25" s="76"/>
      <c r="E25" s="76"/>
      <c r="F25" s="76">
        <v>1310</v>
      </c>
      <c r="G25" s="76">
        <v>2962</v>
      </c>
      <c r="H25" s="76">
        <v>5620</v>
      </c>
      <c r="I25" s="76">
        <v>5522</v>
      </c>
      <c r="J25" s="76">
        <v>2470</v>
      </c>
      <c r="K25" s="76"/>
      <c r="L25" s="76"/>
      <c r="M25" s="76"/>
      <c r="N25" s="76">
        <f>SUM(B25:M25)</f>
        <v>17884</v>
      </c>
      <c r="O25" s="73">
        <f t="shared" si="1"/>
        <v>1.9526767415935214E-2</v>
      </c>
    </row>
    <row r="26" spans="1:15" s="74" customFormat="1" x14ac:dyDescent="0.3">
      <c r="A26" s="71" t="s">
        <v>212</v>
      </c>
      <c r="B26" s="76">
        <v>1008</v>
      </c>
      <c r="C26" s="76">
        <v>798</v>
      </c>
      <c r="D26" s="76">
        <v>1206</v>
      </c>
      <c r="E26" s="76">
        <v>1587</v>
      </c>
      <c r="F26" s="76">
        <v>1033.5</v>
      </c>
      <c r="G26" s="76"/>
      <c r="H26" s="76"/>
      <c r="I26" s="76"/>
      <c r="J26" s="76"/>
      <c r="K26" s="76">
        <v>1558.5</v>
      </c>
      <c r="L26" s="76">
        <v>1299</v>
      </c>
      <c r="M26" s="76">
        <v>1224</v>
      </c>
      <c r="N26" s="76">
        <f>SUM(B26:M26)</f>
        <v>9714</v>
      </c>
      <c r="O26" s="73">
        <f t="shared" si="1"/>
        <v>1.0606297175038843E-2</v>
      </c>
    </row>
    <row r="27" spans="1:15" s="74" customFormat="1" x14ac:dyDescent="0.3">
      <c r="A27" s="71" t="s">
        <v>186</v>
      </c>
      <c r="B27" s="76"/>
      <c r="C27" s="76"/>
      <c r="D27" s="76"/>
      <c r="E27" s="76"/>
      <c r="F27" s="76">
        <v>18</v>
      </c>
      <c r="G27" s="76">
        <v>66</v>
      </c>
      <c r="H27" s="76">
        <v>48</v>
      </c>
      <c r="I27" s="76">
        <v>36</v>
      </c>
      <c r="J27" s="76">
        <v>54</v>
      </c>
      <c r="K27" s="76"/>
      <c r="L27" s="76"/>
      <c r="M27" s="76"/>
      <c r="N27" s="76">
        <f t="shared" si="0"/>
        <v>222</v>
      </c>
      <c r="O27" s="73">
        <f t="shared" si="1"/>
        <v>2.4239221462411191E-4</v>
      </c>
    </row>
    <row r="28" spans="1:15" s="74" customFormat="1" x14ac:dyDescent="0.3">
      <c r="A28" s="71" t="s">
        <v>182</v>
      </c>
      <c r="B28" s="76"/>
      <c r="C28" s="76"/>
      <c r="D28" s="76"/>
      <c r="E28" s="76">
        <v>4</v>
      </c>
      <c r="F28" s="76">
        <v>8</v>
      </c>
      <c r="G28" s="76"/>
      <c r="H28" s="76"/>
      <c r="I28" s="76"/>
      <c r="J28" s="76"/>
      <c r="K28" s="76"/>
      <c r="L28" s="76"/>
      <c r="M28" s="76">
        <v>8</v>
      </c>
      <c r="N28" s="76">
        <f t="shared" si="0"/>
        <v>20</v>
      </c>
      <c r="O28" s="73">
        <f t="shared" si="1"/>
        <v>2.1837136452622694E-5</v>
      </c>
    </row>
    <row r="29" spans="1:15" s="74" customFormat="1" x14ac:dyDescent="0.3">
      <c r="A29" s="71" t="s">
        <v>14</v>
      </c>
      <c r="B29" s="76">
        <v>1568</v>
      </c>
      <c r="C29" s="76">
        <v>1888</v>
      </c>
      <c r="D29" s="76">
        <v>2080</v>
      </c>
      <c r="E29" s="76">
        <v>3040</v>
      </c>
      <c r="F29" s="76">
        <v>2656</v>
      </c>
      <c r="G29" s="76">
        <v>3040</v>
      </c>
      <c r="H29" s="76">
        <v>2656</v>
      </c>
      <c r="I29" s="76">
        <v>2976</v>
      </c>
      <c r="J29" s="76">
        <v>3040</v>
      </c>
      <c r="K29" s="76">
        <v>2848</v>
      </c>
      <c r="L29" s="76">
        <v>2304</v>
      </c>
      <c r="M29" s="76">
        <v>2016</v>
      </c>
      <c r="N29" s="76">
        <f>SUM(B29:M29)</f>
        <v>30112</v>
      </c>
      <c r="O29" s="73">
        <f t="shared" si="1"/>
        <v>3.2877992643068732E-2</v>
      </c>
    </row>
    <row r="30" spans="1:15" s="74" customFormat="1" x14ac:dyDescent="0.3">
      <c r="A30" s="71" t="s">
        <v>162</v>
      </c>
      <c r="B30" s="76"/>
      <c r="C30" s="76"/>
      <c r="D30" s="76"/>
      <c r="E30" s="76"/>
      <c r="F30" s="76">
        <v>66</v>
      </c>
      <c r="G30" s="76">
        <v>189</v>
      </c>
      <c r="H30" s="76">
        <v>408</v>
      </c>
      <c r="I30" s="76">
        <v>399</v>
      </c>
      <c r="J30" s="76">
        <v>150</v>
      </c>
      <c r="K30" s="76"/>
      <c r="L30" s="76"/>
      <c r="M30" s="76"/>
      <c r="N30" s="76">
        <f t="shared" si="0"/>
        <v>1212</v>
      </c>
      <c r="O30" s="73">
        <f t="shared" si="1"/>
        <v>1.3233304690289352E-3</v>
      </c>
    </row>
    <row r="31" spans="1:15" s="74" customFormat="1" x14ac:dyDescent="0.3">
      <c r="A31" s="71" t="s">
        <v>183</v>
      </c>
      <c r="B31" s="76">
        <v>50</v>
      </c>
      <c r="C31" s="76">
        <v>4</v>
      </c>
      <c r="D31" s="76">
        <v>25</v>
      </c>
      <c r="E31" s="76">
        <v>45</v>
      </c>
      <c r="F31" s="76">
        <v>42.5</v>
      </c>
      <c r="G31" s="76"/>
      <c r="H31" s="76"/>
      <c r="I31" s="76"/>
      <c r="J31" s="76"/>
      <c r="K31" s="76">
        <v>35</v>
      </c>
      <c r="L31" s="76">
        <v>12.5</v>
      </c>
      <c r="M31" s="76">
        <v>2.5</v>
      </c>
      <c r="N31" s="76">
        <f t="shared" si="0"/>
        <v>216.5</v>
      </c>
      <c r="O31" s="73">
        <f t="shared" si="1"/>
        <v>2.3638700209964068E-4</v>
      </c>
    </row>
    <row r="32" spans="1:15" s="74" customFormat="1" ht="15.75" hidden="1" customHeight="1" x14ac:dyDescent="0.3">
      <c r="A32" s="71" t="s">
        <v>196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>
        <f t="shared" si="0"/>
        <v>0</v>
      </c>
      <c r="O32" s="73">
        <f t="shared" si="1"/>
        <v>0</v>
      </c>
    </row>
    <row r="33" spans="1:15" s="74" customFormat="1" x14ac:dyDescent="0.3">
      <c r="A33" s="71" t="s">
        <v>163</v>
      </c>
      <c r="B33" s="76"/>
      <c r="C33" s="76"/>
      <c r="D33" s="76"/>
      <c r="E33" s="76"/>
      <c r="F33" s="76">
        <v>1008</v>
      </c>
      <c r="G33" s="76">
        <v>3472</v>
      </c>
      <c r="H33" s="76">
        <v>3164</v>
      </c>
      <c r="I33" s="76">
        <v>3262</v>
      </c>
      <c r="J33" s="76">
        <v>2422</v>
      </c>
      <c r="K33" s="76"/>
      <c r="L33" s="76"/>
      <c r="M33" s="76"/>
      <c r="N33" s="76">
        <f t="shared" si="0"/>
        <v>13328</v>
      </c>
      <c r="O33" s="73">
        <f t="shared" si="1"/>
        <v>1.4552267732027764E-2</v>
      </c>
    </row>
    <row r="34" spans="1:15" s="74" customFormat="1" x14ac:dyDescent="0.3">
      <c r="A34" s="71" t="s">
        <v>187</v>
      </c>
      <c r="B34" s="76">
        <v>1771</v>
      </c>
      <c r="C34" s="76">
        <v>1716</v>
      </c>
      <c r="D34" s="76">
        <v>1749</v>
      </c>
      <c r="E34" s="76">
        <v>2178</v>
      </c>
      <c r="F34" s="76">
        <v>1287</v>
      </c>
      <c r="G34" s="76"/>
      <c r="H34" s="76"/>
      <c r="I34" s="76"/>
      <c r="J34" s="76"/>
      <c r="K34" s="76">
        <v>495</v>
      </c>
      <c r="L34" s="76">
        <v>1859</v>
      </c>
      <c r="M34" s="76">
        <v>1870</v>
      </c>
      <c r="N34" s="76">
        <f t="shared" si="0"/>
        <v>12925</v>
      </c>
      <c r="O34" s="73">
        <f t="shared" si="1"/>
        <v>1.4112249432507416E-2</v>
      </c>
    </row>
    <row r="35" spans="1:15" s="74" customFormat="1" x14ac:dyDescent="0.3">
      <c r="A35" s="71" t="s">
        <v>164</v>
      </c>
      <c r="B35" s="76"/>
      <c r="C35" s="76"/>
      <c r="D35" s="76"/>
      <c r="E35" s="76"/>
      <c r="F35" s="76">
        <v>480</v>
      </c>
      <c r="G35" s="76">
        <v>1400</v>
      </c>
      <c r="H35" s="76">
        <v>1980</v>
      </c>
      <c r="I35" s="76">
        <v>2200</v>
      </c>
      <c r="J35" s="76">
        <v>2100</v>
      </c>
      <c r="K35" s="76"/>
      <c r="L35" s="76"/>
      <c r="M35" s="76"/>
      <c r="N35" s="76">
        <f t="shared" si="0"/>
        <v>8160</v>
      </c>
      <c r="O35" s="73">
        <f t="shared" si="1"/>
        <v>8.9095516726700602E-3</v>
      </c>
    </row>
    <row r="36" spans="1:15" s="74" customFormat="1" x14ac:dyDescent="0.3">
      <c r="A36" s="71" t="s">
        <v>188</v>
      </c>
      <c r="B36" s="76">
        <v>848</v>
      </c>
      <c r="C36" s="76">
        <v>1248</v>
      </c>
      <c r="D36" s="76">
        <v>816</v>
      </c>
      <c r="E36" s="76">
        <v>1600</v>
      </c>
      <c r="F36" s="76">
        <v>640</v>
      </c>
      <c r="G36" s="76"/>
      <c r="H36" s="76"/>
      <c r="I36" s="76"/>
      <c r="J36" s="76"/>
      <c r="K36" s="76">
        <v>240</v>
      </c>
      <c r="L36" s="76">
        <v>1568</v>
      </c>
      <c r="M36" s="76">
        <v>1024</v>
      </c>
      <c r="N36" s="76">
        <f t="shared" si="0"/>
        <v>7984</v>
      </c>
      <c r="O36" s="73">
        <f t="shared" ref="O36:O53" si="3">N36/$N$53</f>
        <v>8.7173848718869792E-3</v>
      </c>
    </row>
    <row r="37" spans="1:15" s="74" customFormat="1" x14ac:dyDescent="0.3">
      <c r="A37" s="71" t="s">
        <v>165</v>
      </c>
      <c r="B37" s="76"/>
      <c r="C37" s="76"/>
      <c r="D37" s="76"/>
      <c r="E37" s="76"/>
      <c r="F37" s="76">
        <v>546</v>
      </c>
      <c r="G37" s="76">
        <v>1794</v>
      </c>
      <c r="H37" s="76">
        <v>1924</v>
      </c>
      <c r="I37" s="76">
        <v>2444</v>
      </c>
      <c r="J37" s="76">
        <v>1352</v>
      </c>
      <c r="K37" s="76"/>
      <c r="L37" s="76"/>
      <c r="M37" s="76"/>
      <c r="N37" s="76">
        <f t="shared" si="0"/>
        <v>8060</v>
      </c>
      <c r="O37" s="73">
        <f t="shared" si="3"/>
        <v>8.8003659904069467E-3</v>
      </c>
    </row>
    <row r="38" spans="1:15" s="74" customFormat="1" x14ac:dyDescent="0.3">
      <c r="A38" s="71" t="s">
        <v>189</v>
      </c>
      <c r="B38" s="76">
        <v>1134</v>
      </c>
      <c r="C38" s="76">
        <v>777</v>
      </c>
      <c r="D38" s="76">
        <v>798</v>
      </c>
      <c r="E38" s="76">
        <v>1197</v>
      </c>
      <c r="F38" s="76">
        <v>819</v>
      </c>
      <c r="G38" s="76"/>
      <c r="H38" s="76"/>
      <c r="I38" s="76"/>
      <c r="J38" s="76"/>
      <c r="K38" s="76">
        <v>378</v>
      </c>
      <c r="L38" s="76">
        <v>1008</v>
      </c>
      <c r="M38" s="76">
        <v>861</v>
      </c>
      <c r="N38" s="76">
        <f t="shared" si="0"/>
        <v>6972</v>
      </c>
      <c r="O38" s="73">
        <f t="shared" si="3"/>
        <v>7.6124257673842715E-3</v>
      </c>
    </row>
    <row r="39" spans="1:15" s="74" customFormat="1" x14ac:dyDescent="0.3">
      <c r="A39" s="71" t="s">
        <v>166</v>
      </c>
      <c r="B39" s="76"/>
      <c r="C39" s="76"/>
      <c r="D39" s="76"/>
      <c r="E39" s="76"/>
      <c r="F39" s="76">
        <v>544</v>
      </c>
      <c r="G39" s="76">
        <v>2244</v>
      </c>
      <c r="H39" s="76">
        <v>2788</v>
      </c>
      <c r="I39" s="76">
        <v>2822</v>
      </c>
      <c r="J39" s="76">
        <v>2414</v>
      </c>
      <c r="K39" s="76"/>
      <c r="L39" s="76"/>
      <c r="M39" s="76"/>
      <c r="N39" s="76">
        <f t="shared" si="0"/>
        <v>10812</v>
      </c>
      <c r="O39" s="73">
        <f t="shared" si="3"/>
        <v>1.1805155966287829E-2</v>
      </c>
    </row>
    <row r="40" spans="1:15" s="74" customFormat="1" x14ac:dyDescent="0.3">
      <c r="A40" s="71" t="s">
        <v>190</v>
      </c>
      <c r="B40" s="76">
        <v>783</v>
      </c>
      <c r="C40" s="76">
        <v>486</v>
      </c>
      <c r="D40" s="76">
        <v>513</v>
      </c>
      <c r="E40" s="76">
        <v>1404</v>
      </c>
      <c r="F40" s="76">
        <v>1107</v>
      </c>
      <c r="G40" s="76"/>
      <c r="H40" s="76"/>
      <c r="I40" s="76"/>
      <c r="J40" s="76"/>
      <c r="K40" s="76">
        <v>378</v>
      </c>
      <c r="L40" s="76">
        <v>891</v>
      </c>
      <c r="M40" s="76">
        <v>783</v>
      </c>
      <c r="N40" s="76">
        <f t="shared" si="0"/>
        <v>6345</v>
      </c>
      <c r="O40" s="73">
        <f t="shared" si="3"/>
        <v>6.9278315395945502E-3</v>
      </c>
    </row>
    <row r="41" spans="1:15" s="74" customFormat="1" x14ac:dyDescent="0.3">
      <c r="A41" s="71" t="s">
        <v>167</v>
      </c>
      <c r="B41" s="76"/>
      <c r="C41" s="76"/>
      <c r="D41" s="76"/>
      <c r="E41" s="76"/>
      <c r="F41" s="76">
        <v>344</v>
      </c>
      <c r="G41" s="76">
        <v>1032</v>
      </c>
      <c r="H41" s="76">
        <v>1634</v>
      </c>
      <c r="I41" s="76">
        <v>1505</v>
      </c>
      <c r="J41" s="76">
        <v>1634</v>
      </c>
      <c r="K41" s="76"/>
      <c r="L41" s="76"/>
      <c r="M41" s="76"/>
      <c r="N41" s="76">
        <f t="shared" si="0"/>
        <v>6149</v>
      </c>
      <c r="O41" s="73">
        <f t="shared" si="3"/>
        <v>6.7138276023588472E-3</v>
      </c>
    </row>
    <row r="42" spans="1:15" s="74" customFormat="1" x14ac:dyDescent="0.3">
      <c r="A42" s="71" t="s">
        <v>191</v>
      </c>
      <c r="B42" s="76">
        <v>272</v>
      </c>
      <c r="C42" s="76">
        <v>272</v>
      </c>
      <c r="D42" s="76">
        <v>510</v>
      </c>
      <c r="E42" s="76">
        <v>714</v>
      </c>
      <c r="F42" s="76">
        <v>680</v>
      </c>
      <c r="G42" s="76"/>
      <c r="H42" s="76"/>
      <c r="I42" s="76"/>
      <c r="J42" s="76"/>
      <c r="K42" s="76">
        <v>102</v>
      </c>
      <c r="L42" s="76">
        <v>306</v>
      </c>
      <c r="M42" s="76">
        <v>272</v>
      </c>
      <c r="N42" s="76">
        <f t="shared" si="0"/>
        <v>3128</v>
      </c>
      <c r="O42" s="73">
        <f t="shared" si="3"/>
        <v>3.4153281411901893E-3</v>
      </c>
    </row>
    <row r="43" spans="1:15" s="74" customFormat="1" x14ac:dyDescent="0.3">
      <c r="A43" s="71" t="s">
        <v>168</v>
      </c>
      <c r="B43" s="76"/>
      <c r="C43" s="76"/>
      <c r="D43" s="76"/>
      <c r="E43" s="76"/>
      <c r="F43" s="76">
        <v>53</v>
      </c>
      <c r="G43" s="76">
        <v>689</v>
      </c>
      <c r="H43" s="76">
        <v>530</v>
      </c>
      <c r="I43" s="76">
        <v>742</v>
      </c>
      <c r="J43" s="76">
        <v>212</v>
      </c>
      <c r="K43" s="76"/>
      <c r="L43" s="76"/>
      <c r="M43" s="76"/>
      <c r="N43" s="76">
        <f t="shared" si="0"/>
        <v>2226</v>
      </c>
      <c r="O43" s="73">
        <f t="shared" si="3"/>
        <v>2.4304732871769058E-3</v>
      </c>
    </row>
    <row r="44" spans="1:15" s="74" customFormat="1" x14ac:dyDescent="0.3">
      <c r="A44" s="71" t="s">
        <v>192</v>
      </c>
      <c r="B44" s="76">
        <v>42</v>
      </c>
      <c r="C44" s="76">
        <v>252</v>
      </c>
      <c r="D44" s="76">
        <v>168</v>
      </c>
      <c r="E44" s="76">
        <v>294</v>
      </c>
      <c r="F44" s="76">
        <v>42</v>
      </c>
      <c r="G44" s="76"/>
      <c r="H44" s="76"/>
      <c r="I44" s="76"/>
      <c r="J44" s="76"/>
      <c r="K44" s="76">
        <v>210</v>
      </c>
      <c r="L44" s="76">
        <v>336</v>
      </c>
      <c r="M44" s="76">
        <v>294</v>
      </c>
      <c r="N44" s="76">
        <f t="shared" si="0"/>
        <v>1638</v>
      </c>
      <c r="O44" s="73">
        <f t="shared" si="3"/>
        <v>1.7884614754697986E-3</v>
      </c>
    </row>
    <row r="45" spans="1:15" s="74" customFormat="1" x14ac:dyDescent="0.3">
      <c r="A45" s="71" t="s">
        <v>169</v>
      </c>
      <c r="B45" s="76"/>
      <c r="C45" s="76"/>
      <c r="D45" s="76"/>
      <c r="E45" s="76"/>
      <c r="F45" s="76">
        <v>128</v>
      </c>
      <c r="G45" s="76">
        <v>128</v>
      </c>
      <c r="H45" s="76">
        <v>256</v>
      </c>
      <c r="I45" s="76">
        <v>64</v>
      </c>
      <c r="J45" s="76">
        <v>192</v>
      </c>
      <c r="K45" s="76"/>
      <c r="L45" s="76"/>
      <c r="M45" s="76"/>
      <c r="N45" s="76">
        <f t="shared" si="0"/>
        <v>768</v>
      </c>
      <c r="O45" s="73">
        <f t="shared" si="3"/>
        <v>8.3854603978071151E-4</v>
      </c>
    </row>
    <row r="46" spans="1:15" s="74" customFormat="1" x14ac:dyDescent="0.3">
      <c r="A46" s="71" t="s">
        <v>193</v>
      </c>
      <c r="B46" s="76">
        <v>51</v>
      </c>
      <c r="C46" s="76">
        <v>102</v>
      </c>
      <c r="D46" s="76">
        <v>51</v>
      </c>
      <c r="E46" s="76"/>
      <c r="F46" s="76"/>
      <c r="G46" s="76"/>
      <c r="H46" s="76"/>
      <c r="I46" s="76"/>
      <c r="J46" s="76"/>
      <c r="K46" s="76">
        <v>102</v>
      </c>
      <c r="L46" s="76">
        <v>102</v>
      </c>
      <c r="M46" s="76">
        <v>51</v>
      </c>
      <c r="N46" s="76">
        <f t="shared" si="0"/>
        <v>459</v>
      </c>
      <c r="O46" s="73">
        <f t="shared" si="3"/>
        <v>5.0116228158769086E-4</v>
      </c>
    </row>
    <row r="47" spans="1:15" s="74" customFormat="1" x14ac:dyDescent="0.3">
      <c r="A47" s="71" t="s">
        <v>170</v>
      </c>
      <c r="B47" s="76"/>
      <c r="C47" s="76"/>
      <c r="D47" s="76"/>
      <c r="E47" s="76"/>
      <c r="F47" s="76"/>
      <c r="G47" s="76">
        <v>75</v>
      </c>
      <c r="H47" s="76"/>
      <c r="I47" s="76">
        <v>75</v>
      </c>
      <c r="J47" s="76">
        <v>150</v>
      </c>
      <c r="K47" s="76"/>
      <c r="L47" s="76"/>
      <c r="M47" s="76"/>
      <c r="N47" s="76">
        <f t="shared" si="0"/>
        <v>300</v>
      </c>
      <c r="O47" s="73">
        <f t="shared" si="3"/>
        <v>3.2755704678934044E-4</v>
      </c>
    </row>
    <row r="48" spans="1:15" s="74" customFormat="1" x14ac:dyDescent="0.3">
      <c r="A48" s="71" t="s">
        <v>194</v>
      </c>
      <c r="B48" s="76"/>
      <c r="C48" s="76">
        <v>60</v>
      </c>
      <c r="D48" s="76">
        <v>120</v>
      </c>
      <c r="E48" s="76">
        <v>60</v>
      </c>
      <c r="F48" s="76"/>
      <c r="G48" s="76"/>
      <c r="H48" s="76"/>
      <c r="I48" s="76"/>
      <c r="J48" s="76"/>
      <c r="K48" s="76"/>
      <c r="L48" s="76"/>
      <c r="M48" s="76">
        <v>60</v>
      </c>
      <c r="N48" s="76">
        <f t="shared" si="0"/>
        <v>300</v>
      </c>
      <c r="O48" s="73">
        <f t="shared" si="3"/>
        <v>3.2755704678934044E-4</v>
      </c>
    </row>
    <row r="49" spans="1:17" s="74" customFormat="1" x14ac:dyDescent="0.3">
      <c r="A49" s="71" t="s">
        <v>171</v>
      </c>
      <c r="B49" s="76"/>
      <c r="C49" s="76"/>
      <c r="D49" s="76"/>
      <c r="E49" s="76"/>
      <c r="F49" s="76">
        <v>89</v>
      </c>
      <c r="G49" s="76">
        <v>178</v>
      </c>
      <c r="H49" s="76">
        <v>178</v>
      </c>
      <c r="I49" s="76">
        <v>178</v>
      </c>
      <c r="J49" s="76">
        <v>178</v>
      </c>
      <c r="K49" s="76"/>
      <c r="L49" s="76"/>
      <c r="M49" s="76"/>
      <c r="N49" s="76">
        <f t="shared" si="0"/>
        <v>801</v>
      </c>
      <c r="O49" s="73">
        <f t="shared" si="3"/>
        <v>8.7457731492753888E-4</v>
      </c>
    </row>
    <row r="50" spans="1:17" s="74" customFormat="1" x14ac:dyDescent="0.3">
      <c r="A50" s="71" t="s">
        <v>195</v>
      </c>
      <c r="B50" s="76"/>
      <c r="C50" s="76">
        <v>71</v>
      </c>
      <c r="D50" s="76">
        <v>71</v>
      </c>
      <c r="E50" s="76"/>
      <c r="F50" s="76"/>
      <c r="G50" s="76"/>
      <c r="H50" s="76"/>
      <c r="I50" s="76"/>
      <c r="J50" s="76"/>
      <c r="K50" s="76"/>
      <c r="L50" s="76">
        <v>71</v>
      </c>
      <c r="M50" s="76"/>
      <c r="N50" s="76">
        <f t="shared" si="0"/>
        <v>213</v>
      </c>
      <c r="O50" s="73">
        <f t="shared" si="3"/>
        <v>2.3256550322043169E-4</v>
      </c>
    </row>
    <row r="51" spans="1:17" s="74" customFormat="1" x14ac:dyDescent="0.3">
      <c r="A51" s="71" t="s">
        <v>198</v>
      </c>
      <c r="B51" s="76">
        <v>10.8</v>
      </c>
      <c r="C51" s="76">
        <v>10.8</v>
      </c>
      <c r="D51" s="76">
        <v>11.4</v>
      </c>
      <c r="E51" s="76">
        <v>10.8</v>
      </c>
      <c r="F51" s="76">
        <v>12</v>
      </c>
      <c r="G51" s="76">
        <v>7.8</v>
      </c>
      <c r="H51" s="76"/>
      <c r="I51" s="76"/>
      <c r="J51" s="76">
        <v>12</v>
      </c>
      <c r="K51" s="76">
        <v>13.2</v>
      </c>
      <c r="L51" s="76">
        <v>10.199999999999999</v>
      </c>
      <c r="M51" s="76">
        <v>9</v>
      </c>
      <c r="N51" s="76">
        <f t="shared" si="0"/>
        <v>108</v>
      </c>
      <c r="O51" s="73">
        <f t="shared" si="3"/>
        <v>1.1792053684416254E-4</v>
      </c>
    </row>
    <row r="52" spans="1:17" x14ac:dyDescent="0.3">
      <c r="A52" s="71" t="s">
        <v>225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>
        <v>7007</v>
      </c>
      <c r="O52" s="73">
        <f t="shared" si="3"/>
        <v>7.6506407561763613E-3</v>
      </c>
      <c r="P52" s="74"/>
      <c r="Q52" s="74"/>
    </row>
    <row r="53" spans="1:17" x14ac:dyDescent="0.3">
      <c r="A53" s="71" t="s">
        <v>25</v>
      </c>
      <c r="B53" s="76">
        <f t="shared" ref="B53:M53" si="4">SUM(B4:B51)</f>
        <v>60202.8</v>
      </c>
      <c r="C53" s="76">
        <f t="shared" si="4"/>
        <v>57627.3</v>
      </c>
      <c r="D53" s="76">
        <f t="shared" si="4"/>
        <v>56290.9</v>
      </c>
      <c r="E53" s="76">
        <f t="shared" si="4"/>
        <v>76898.8</v>
      </c>
      <c r="F53" s="76">
        <f t="shared" si="4"/>
        <v>87675</v>
      </c>
      <c r="G53" s="76">
        <f t="shared" si="4"/>
        <v>96300.3</v>
      </c>
      <c r="H53" s="76">
        <f t="shared" si="4"/>
        <v>114680.5</v>
      </c>
      <c r="I53" s="76">
        <f t="shared" si="4"/>
        <v>122655.5</v>
      </c>
      <c r="J53" s="76">
        <f t="shared" si="4"/>
        <v>76293.5</v>
      </c>
      <c r="K53" s="76">
        <f t="shared" si="4"/>
        <v>32698.2</v>
      </c>
      <c r="L53" s="76">
        <f t="shared" si="4"/>
        <v>63152.2</v>
      </c>
      <c r="M53" s="76">
        <f t="shared" si="4"/>
        <v>64389</v>
      </c>
      <c r="N53" s="76">
        <f>SUM(N4:N52)</f>
        <v>915871</v>
      </c>
      <c r="O53" s="73">
        <f t="shared" si="3"/>
        <v>1</v>
      </c>
      <c r="P53" s="74"/>
      <c r="Q53" s="74"/>
    </row>
    <row r="54" spans="1:17" x14ac:dyDescent="0.3">
      <c r="A54" s="71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3"/>
      <c r="P54" s="74"/>
      <c r="Q54" s="74"/>
    </row>
    <row r="55" spans="1:17" hidden="1" x14ac:dyDescent="0.3">
      <c r="A55" s="71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3"/>
      <c r="P55" s="74"/>
      <c r="Q55" s="74"/>
    </row>
    <row r="56" spans="1:17" hidden="1" x14ac:dyDescent="0.3">
      <c r="A56" s="71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3"/>
      <c r="P56" s="74"/>
      <c r="Q56" s="74"/>
    </row>
    <row r="57" spans="1:17" x14ac:dyDescent="0.3">
      <c r="A57" s="71" t="s">
        <v>148</v>
      </c>
      <c r="B57" s="76">
        <f t="shared" ref="B57:H57" si="5">+B4+B7+B8+B9+B15+B16+B19+B20+B22+B23+B24+B27+B28+B33+B34+B35+B36+B37+B38+B39+B40+B41+B42+B43+B44+B45+B46+B47+B48+B49+B50+B5+B6</f>
        <v>50666</v>
      </c>
      <c r="C57" s="76">
        <f t="shared" si="5"/>
        <v>46902</v>
      </c>
      <c r="D57" s="76">
        <f t="shared" si="5"/>
        <v>44007</v>
      </c>
      <c r="E57" s="76">
        <f t="shared" si="5"/>
        <v>63078</v>
      </c>
      <c r="F57" s="76">
        <f t="shared" si="5"/>
        <v>67259</v>
      </c>
      <c r="G57" s="76">
        <f t="shared" si="5"/>
        <v>74823</v>
      </c>
      <c r="H57" s="76">
        <f t="shared" si="5"/>
        <v>83352</v>
      </c>
      <c r="I57" s="76">
        <f>+I4+I7+I8+I9+I15+I16+I19+I20+I22+I23+I24+I27+I28+I33+I34+I35+I36+I37+I38+I39+I40+I41+I42+I43+I44+I45+I46+I47+I48+I49+I50+I5+I6+I18</f>
        <v>90498</v>
      </c>
      <c r="J57" s="76">
        <f>+J4+J7+J8+J9+J15+J16+J19+J20+J22+J23+J24+J27+J28+J33+J34+J35+J36+J37+J38+J39+J40+J41+J42+J43+J44+J45+J46+J47+J48+J49+J50+J5+J6+J18</f>
        <v>53582</v>
      </c>
      <c r="K57" s="76">
        <f>+K4+K7+K8+K9+K15+K16+K19+K20+K22+K23+K24+K27+K28+K33+K34+K35+K36+K37+K38+K39+K40+K41+K42+K43+K44+K45+K46+K47+K48+K49+K50+K5+K6+K18</f>
        <v>15735</v>
      </c>
      <c r="L57" s="76">
        <f>+L4+L7+L8+L9+L15+L16+L19+L20+L22+L23+L24+L27+L28+L33+L34+L35+L36+L37+L38+L39+L40+L41+L42+L43+L44+L45+L46+L47+L48+L49+L50+L5+L6+L18</f>
        <v>51329</v>
      </c>
      <c r="M57" s="76">
        <f>+M4+M7+M8+M9+M15+M16+M19+M20+M22+M23+M24+M27+M28+M33+M34+M35+M36+M37+M38+M39+M40+M41+M42+M43+M44+M45+M46+M47+M48+M49+M50+M5+M6+M18</f>
        <v>52541</v>
      </c>
      <c r="N57" s="76">
        <f>+N4+N7+N8+N9+N15+N16+N19+N20+N22+N23+N24+N27+N28+N33+N34+N35+N36+N37+N38+N39+N40+N41+N42+N43+N44+N45+N46+N47+N48+N49+N50+N5+N6</f>
        <v>693612</v>
      </c>
      <c r="O57" s="73"/>
      <c r="P57" s="74"/>
      <c r="Q57" s="74"/>
    </row>
    <row r="58" spans="1:17" s="78" customFormat="1" x14ac:dyDescent="0.3">
      <c r="A58" s="71" t="s">
        <v>149</v>
      </c>
      <c r="B58" s="76">
        <f t="shared" ref="B58:N58" si="6">+B10+B11+B12+B13+B14+B17+B21+B25+B26+B29+B30+B31+B51</f>
        <v>9536.7999999999993</v>
      </c>
      <c r="C58" s="76">
        <f t="shared" si="6"/>
        <v>10565.3</v>
      </c>
      <c r="D58" s="76">
        <f t="shared" si="6"/>
        <v>12283.9</v>
      </c>
      <c r="E58" s="76">
        <f t="shared" si="6"/>
        <v>13820.8</v>
      </c>
      <c r="F58" s="76">
        <f t="shared" si="6"/>
        <v>20416</v>
      </c>
      <c r="G58" s="76">
        <f t="shared" si="6"/>
        <v>21477.3</v>
      </c>
      <c r="H58" s="76">
        <f t="shared" si="6"/>
        <v>31328.5</v>
      </c>
      <c r="I58" s="76">
        <f t="shared" si="6"/>
        <v>32157.5</v>
      </c>
      <c r="J58" s="76">
        <f t="shared" si="6"/>
        <v>22711.5</v>
      </c>
      <c r="K58" s="76">
        <f t="shared" si="6"/>
        <v>16963.2</v>
      </c>
      <c r="L58" s="76">
        <f t="shared" si="6"/>
        <v>11823.2</v>
      </c>
      <c r="M58" s="76">
        <f t="shared" si="6"/>
        <v>11848</v>
      </c>
      <c r="N58" s="76">
        <f t="shared" si="6"/>
        <v>214932</v>
      </c>
      <c r="O58" s="73"/>
      <c r="P58" s="74"/>
      <c r="Q58" s="74"/>
    </row>
    <row r="59" spans="1:17" s="78" customFormat="1" x14ac:dyDescent="0.3">
      <c r="A59" s="71" t="s">
        <v>226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>
        <v>7007</v>
      </c>
      <c r="O59" s="73"/>
      <c r="P59" s="74"/>
      <c r="Q59" s="74"/>
    </row>
    <row r="60" spans="1:17" s="79" customFormat="1" ht="16.2" thickBot="1" x14ac:dyDescent="0.35">
      <c r="A60" s="71" t="s">
        <v>143</v>
      </c>
      <c r="B60" s="76">
        <f t="shared" ref="B60:M60" si="7">SUM(B57:B58)</f>
        <v>60202.8</v>
      </c>
      <c r="C60" s="76">
        <f t="shared" si="7"/>
        <v>57467.3</v>
      </c>
      <c r="D60" s="76">
        <f t="shared" si="7"/>
        <v>56290.9</v>
      </c>
      <c r="E60" s="76">
        <f t="shared" si="7"/>
        <v>76898.8</v>
      </c>
      <c r="F60" s="76">
        <f t="shared" si="7"/>
        <v>87675</v>
      </c>
      <c r="G60" s="76">
        <f t="shared" si="7"/>
        <v>96300.3</v>
      </c>
      <c r="H60" s="76">
        <f t="shared" si="7"/>
        <v>114680.5</v>
      </c>
      <c r="I60" s="76">
        <f t="shared" si="7"/>
        <v>122655.5</v>
      </c>
      <c r="J60" s="76">
        <f t="shared" si="7"/>
        <v>76293.5</v>
      </c>
      <c r="K60" s="76">
        <f t="shared" si="7"/>
        <v>32698.2</v>
      </c>
      <c r="L60" s="76">
        <f t="shared" si="7"/>
        <v>63152.2</v>
      </c>
      <c r="M60" s="76">
        <f t="shared" si="7"/>
        <v>64389</v>
      </c>
      <c r="N60" s="76">
        <f>SUM(N57:N59)</f>
        <v>915551</v>
      </c>
      <c r="O60" s="73"/>
      <c r="P60" s="74"/>
      <c r="Q60" s="74"/>
    </row>
    <row r="61" spans="1:17" ht="16.2" thickTop="1" x14ac:dyDescent="0.3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</row>
    <row r="62" spans="1:17" x14ac:dyDescent="0.3">
      <c r="A62" s="66"/>
      <c r="B62" s="77">
        <f t="shared" ref="B62:M62" si="8">+B60-B53</f>
        <v>0</v>
      </c>
      <c r="C62" s="77">
        <f t="shared" si="8"/>
        <v>-160</v>
      </c>
      <c r="D62" s="77">
        <f t="shared" si="8"/>
        <v>0</v>
      </c>
      <c r="E62" s="77">
        <f t="shared" si="8"/>
        <v>0</v>
      </c>
      <c r="F62" s="77">
        <f t="shared" si="8"/>
        <v>0</v>
      </c>
      <c r="G62" s="77">
        <f t="shared" si="8"/>
        <v>0</v>
      </c>
      <c r="H62" s="77">
        <f t="shared" si="8"/>
        <v>0</v>
      </c>
      <c r="I62" s="77">
        <f t="shared" si="8"/>
        <v>0</v>
      </c>
      <c r="J62" s="77">
        <f t="shared" si="8"/>
        <v>0</v>
      </c>
      <c r="K62" s="77">
        <f t="shared" si="8"/>
        <v>0</v>
      </c>
      <c r="L62" s="77">
        <f t="shared" si="8"/>
        <v>0</v>
      </c>
      <c r="M62" s="77">
        <f t="shared" si="8"/>
        <v>0</v>
      </c>
      <c r="N62" s="66"/>
      <c r="O62" s="66"/>
    </row>
    <row r="67" spans="1:14" x14ac:dyDescent="0.3">
      <c r="A67" s="80" t="s">
        <v>204</v>
      </c>
      <c r="B67" s="81">
        <f t="shared" ref="B67:N67" si="9">+B4+B7+B8+B9+B5+B6</f>
        <v>23685</v>
      </c>
      <c r="C67" s="81">
        <f t="shared" si="9"/>
        <v>21423</v>
      </c>
      <c r="D67" s="81">
        <f t="shared" si="9"/>
        <v>18872</v>
      </c>
      <c r="E67" s="81">
        <f t="shared" si="9"/>
        <v>27458</v>
      </c>
      <c r="F67" s="81">
        <f t="shared" si="9"/>
        <v>28754</v>
      </c>
      <c r="G67" s="81">
        <f t="shared" si="9"/>
        <v>27941</v>
      </c>
      <c r="H67" s="81">
        <f t="shared" si="9"/>
        <v>22841</v>
      </c>
      <c r="I67" s="81">
        <f t="shared" si="9"/>
        <v>27374</v>
      </c>
      <c r="J67" s="81">
        <f t="shared" si="9"/>
        <v>14739</v>
      </c>
      <c r="K67" s="81">
        <f t="shared" si="9"/>
        <v>8285</v>
      </c>
      <c r="L67" s="81">
        <f t="shared" si="9"/>
        <v>21306</v>
      </c>
      <c r="M67" s="81">
        <f t="shared" si="9"/>
        <v>23490</v>
      </c>
      <c r="N67" s="81">
        <f t="shared" si="9"/>
        <v>266168</v>
      </c>
    </row>
    <row r="68" spans="1:14" x14ac:dyDescent="0.3">
      <c r="A68" s="80" t="s">
        <v>205</v>
      </c>
      <c r="B68" s="81">
        <f t="shared" ref="B68:N68" si="10">+B15+B16+B23+B24</f>
        <v>22015</v>
      </c>
      <c r="C68" s="81">
        <f t="shared" si="10"/>
        <v>20450</v>
      </c>
      <c r="D68" s="81">
        <f t="shared" si="10"/>
        <v>20294</v>
      </c>
      <c r="E68" s="81">
        <f t="shared" si="10"/>
        <v>27924</v>
      </c>
      <c r="F68" s="81">
        <f t="shared" si="10"/>
        <v>30434</v>
      </c>
      <c r="G68" s="81">
        <f t="shared" si="10"/>
        <v>35398</v>
      </c>
      <c r="H68" s="81">
        <f t="shared" si="10"/>
        <v>47194</v>
      </c>
      <c r="I68" s="81">
        <f t="shared" si="10"/>
        <v>49119</v>
      </c>
      <c r="J68" s="81">
        <f t="shared" si="10"/>
        <v>27556</v>
      </c>
      <c r="K68" s="81">
        <f t="shared" si="10"/>
        <v>5460</v>
      </c>
      <c r="L68" s="81">
        <f t="shared" si="10"/>
        <v>23622</v>
      </c>
      <c r="M68" s="81">
        <f t="shared" si="10"/>
        <v>23783</v>
      </c>
      <c r="N68" s="81">
        <f t="shared" si="10"/>
        <v>333249</v>
      </c>
    </row>
    <row r="69" spans="1:14" x14ac:dyDescent="0.3">
      <c r="A69" s="80" t="s">
        <v>206</v>
      </c>
      <c r="B69" s="81">
        <f t="shared" ref="B69:N69" si="11">+B19+B20+B27+B28</f>
        <v>65</v>
      </c>
      <c r="C69" s="81">
        <f t="shared" si="11"/>
        <v>45</v>
      </c>
      <c r="D69" s="81">
        <f t="shared" si="11"/>
        <v>45</v>
      </c>
      <c r="E69" s="81">
        <f t="shared" si="11"/>
        <v>249</v>
      </c>
      <c r="F69" s="81">
        <f t="shared" si="11"/>
        <v>299</v>
      </c>
      <c r="G69" s="81">
        <f t="shared" si="11"/>
        <v>472</v>
      </c>
      <c r="H69" s="81">
        <f t="shared" si="11"/>
        <v>853</v>
      </c>
      <c r="I69" s="81">
        <f t="shared" si="11"/>
        <v>708</v>
      </c>
      <c r="J69" s="81">
        <f t="shared" si="11"/>
        <v>628</v>
      </c>
      <c r="K69" s="81">
        <f t="shared" si="11"/>
        <v>85</v>
      </c>
      <c r="L69" s="81">
        <f t="shared" si="11"/>
        <v>95</v>
      </c>
      <c r="M69" s="81">
        <f t="shared" si="11"/>
        <v>53</v>
      </c>
      <c r="N69" s="81">
        <f t="shared" si="11"/>
        <v>3597</v>
      </c>
    </row>
    <row r="70" spans="1:14" x14ac:dyDescent="0.3">
      <c r="A70" s="80" t="s">
        <v>207</v>
      </c>
      <c r="B70" s="81">
        <f t="shared" ref="B70:H70" si="12">+B33+B34+B35+B36+B37+B38+B39+B40+B41+B42+B43+B44+B45+B46+B47+B48+B49+B50+B18+B22</f>
        <v>4901</v>
      </c>
      <c r="C70" s="81">
        <f t="shared" si="12"/>
        <v>5144</v>
      </c>
      <c r="D70" s="81">
        <f t="shared" si="12"/>
        <v>4796</v>
      </c>
      <c r="E70" s="81">
        <f t="shared" si="12"/>
        <v>7447</v>
      </c>
      <c r="F70" s="81">
        <f t="shared" si="12"/>
        <v>7772</v>
      </c>
      <c r="G70" s="81">
        <f t="shared" si="12"/>
        <v>11012</v>
      </c>
      <c r="H70" s="81">
        <f t="shared" si="12"/>
        <v>12464</v>
      </c>
      <c r="I70" s="81">
        <f>+I33+I34+I35+I36+I37+I38+I39+I40+I41+I42+I43+I44+I45+I46+I47+I48+I49+I50+I18+I22</f>
        <v>13297</v>
      </c>
      <c r="J70" s="81">
        <f t="shared" ref="J70:M70" si="13">+J33+J34+J35+J36+J37+J38+J39+J40+J41+J42+J43+J44+J45+J46+J47+J48+J49+J50+J18+J22</f>
        <v>10659</v>
      </c>
      <c r="K70" s="81">
        <f t="shared" si="13"/>
        <v>1905</v>
      </c>
      <c r="L70" s="81">
        <f t="shared" si="13"/>
        <v>6306</v>
      </c>
      <c r="M70" s="81">
        <f t="shared" si="13"/>
        <v>5215</v>
      </c>
      <c r="N70" s="81">
        <f t="shared" ref="N70" si="14">+N33+N34+N35+N36+N37+N38+N39+N40+N41+N42+N43+N44+N45+N46+N47+N48+N49+N50</f>
        <v>90568</v>
      </c>
    </row>
    <row r="71" spans="1:14" x14ac:dyDescent="0.3">
      <c r="A71" s="80" t="s">
        <v>208</v>
      </c>
      <c r="B71" s="81">
        <f t="shared" ref="B71:N71" si="15">+B12+B29</f>
        <v>4430</v>
      </c>
      <c r="C71" s="81">
        <f t="shared" si="15"/>
        <v>5492</v>
      </c>
      <c r="D71" s="81">
        <f t="shared" si="15"/>
        <v>5896</v>
      </c>
      <c r="E71" s="81">
        <f t="shared" si="15"/>
        <v>6379</v>
      </c>
      <c r="F71" s="81">
        <f t="shared" si="15"/>
        <v>8168</v>
      </c>
      <c r="G71" s="81">
        <f t="shared" si="15"/>
        <v>7386</v>
      </c>
      <c r="H71" s="81">
        <f t="shared" si="15"/>
        <v>7532</v>
      </c>
      <c r="I71" s="81">
        <f t="shared" si="15"/>
        <v>8276</v>
      </c>
      <c r="J71" s="81">
        <f t="shared" si="15"/>
        <v>9506</v>
      </c>
      <c r="K71" s="81">
        <f t="shared" si="15"/>
        <v>8943</v>
      </c>
      <c r="L71" s="81">
        <f t="shared" si="15"/>
        <v>5113</v>
      </c>
      <c r="M71" s="81">
        <f t="shared" si="15"/>
        <v>5514</v>
      </c>
      <c r="N71" s="81">
        <f t="shared" si="15"/>
        <v>82635</v>
      </c>
    </row>
    <row r="72" spans="1:14" x14ac:dyDescent="0.3">
      <c r="A72" s="80" t="s">
        <v>209</v>
      </c>
      <c r="B72" s="81">
        <f t="shared" ref="B72:N72" si="16">+B13+B14+B25+B26</f>
        <v>4845.5</v>
      </c>
      <c r="C72" s="81">
        <f t="shared" si="16"/>
        <v>4758</v>
      </c>
      <c r="D72" s="81">
        <f t="shared" si="16"/>
        <v>5998.5</v>
      </c>
      <c r="E72" s="81">
        <f t="shared" si="16"/>
        <v>6919.5</v>
      </c>
      <c r="F72" s="81">
        <f t="shared" si="16"/>
        <v>10875</v>
      </c>
      <c r="G72" s="81">
        <f t="shared" si="16"/>
        <v>13049</v>
      </c>
      <c r="H72" s="81">
        <f t="shared" si="16"/>
        <v>21601</v>
      </c>
      <c r="I72" s="81">
        <f t="shared" si="16"/>
        <v>21478</v>
      </c>
      <c r="J72" s="81">
        <f t="shared" si="16"/>
        <v>11730</v>
      </c>
      <c r="K72" s="81">
        <f t="shared" si="16"/>
        <v>7086</v>
      </c>
      <c r="L72" s="81">
        <f t="shared" si="16"/>
        <v>5986.5</v>
      </c>
      <c r="M72" s="81">
        <f t="shared" si="16"/>
        <v>6031.5</v>
      </c>
      <c r="N72" s="81">
        <f t="shared" si="16"/>
        <v>120358.5</v>
      </c>
    </row>
    <row r="73" spans="1:14" x14ac:dyDescent="0.3">
      <c r="A73" s="80" t="s">
        <v>210</v>
      </c>
      <c r="B73" s="81">
        <f t="shared" ref="B73:N73" si="17">+B10+B11+B30+B31</f>
        <v>151.5</v>
      </c>
      <c r="C73" s="81">
        <f t="shared" si="17"/>
        <v>105.5</v>
      </c>
      <c r="D73" s="81">
        <f t="shared" si="17"/>
        <v>273.5</v>
      </c>
      <c r="E73" s="81">
        <f t="shared" si="17"/>
        <v>412.5</v>
      </c>
      <c r="F73" s="81">
        <f t="shared" si="17"/>
        <v>701</v>
      </c>
      <c r="G73" s="81">
        <f t="shared" si="17"/>
        <v>963</v>
      </c>
      <c r="H73" s="81">
        <f t="shared" si="17"/>
        <v>2095.5</v>
      </c>
      <c r="I73" s="81">
        <f t="shared" si="17"/>
        <v>1753.5</v>
      </c>
      <c r="J73" s="81">
        <f t="shared" si="17"/>
        <v>1153.5</v>
      </c>
      <c r="K73" s="81">
        <f t="shared" si="17"/>
        <v>350</v>
      </c>
      <c r="L73" s="81">
        <f t="shared" si="17"/>
        <v>170</v>
      </c>
      <c r="M73" s="81">
        <f t="shared" si="17"/>
        <v>111</v>
      </c>
      <c r="N73" s="81">
        <f t="shared" si="17"/>
        <v>8240.5</v>
      </c>
    </row>
    <row r="74" spans="1:14" x14ac:dyDescent="0.3">
      <c r="N74" s="82">
        <f>SUM(N67:N73)</f>
        <v>904816</v>
      </c>
    </row>
  </sheetData>
  <printOptions horizontalCentered="1" verticalCentered="1"/>
  <pageMargins left="0.4" right="0.4" top="0.7" bottom="0.7" header="0.5" footer="0.5"/>
  <pageSetup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zoomScale="75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M52" sqref="M52"/>
    </sheetView>
  </sheetViews>
  <sheetFormatPr defaultColWidth="8.33203125" defaultRowHeight="15" x14ac:dyDescent="0.25"/>
  <cols>
    <col min="1" max="1" width="29.08203125" bestFit="1" customWidth="1"/>
    <col min="2" max="13" width="8.33203125" customWidth="1"/>
    <col min="14" max="14" width="10.08203125" customWidth="1"/>
  </cols>
  <sheetData>
    <row r="1" spans="1:15" ht="18.600000000000001" x14ac:dyDescent="0.45">
      <c r="A1" s="3" t="s">
        <v>220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218</v>
      </c>
      <c r="B4" s="43">
        <v>240</v>
      </c>
      <c r="C4" s="43">
        <v>480</v>
      </c>
      <c r="D4" s="43">
        <v>640</v>
      </c>
      <c r="E4" s="43">
        <v>160</v>
      </c>
      <c r="F4" s="43">
        <f>400+160</f>
        <v>560</v>
      </c>
      <c r="G4" s="43">
        <v>800</v>
      </c>
      <c r="H4" s="43">
        <v>800</v>
      </c>
      <c r="I4" s="43">
        <v>200</v>
      </c>
      <c r="J4" s="43">
        <v>100</v>
      </c>
      <c r="K4" s="43">
        <v>800</v>
      </c>
      <c r="L4" s="43">
        <v>240</v>
      </c>
      <c r="M4" s="43">
        <v>720</v>
      </c>
      <c r="N4" s="43">
        <f t="shared" ref="N4:N52" si="0">SUM(B4:M4)</f>
        <v>5740</v>
      </c>
      <c r="O4" s="44">
        <f>N4/$N$52</f>
        <v>5.822734063765227E-3</v>
      </c>
    </row>
    <row r="5" spans="1:15" s="54" customFormat="1" ht="16.8" x14ac:dyDescent="0.4">
      <c r="A5" s="42" t="s">
        <v>219</v>
      </c>
      <c r="B5" s="43">
        <v>490</v>
      </c>
      <c r="C5" s="43">
        <v>210</v>
      </c>
      <c r="D5" s="43">
        <v>140</v>
      </c>
      <c r="E5" s="43">
        <v>210</v>
      </c>
      <c r="F5" s="43">
        <v>450</v>
      </c>
      <c r="G5" s="43">
        <v>630</v>
      </c>
      <c r="H5" s="43">
        <v>180</v>
      </c>
      <c r="I5" s="43">
        <v>180</v>
      </c>
      <c r="J5" s="43">
        <v>180</v>
      </c>
      <c r="K5" s="43">
        <v>840</v>
      </c>
      <c r="L5" s="43">
        <v>140</v>
      </c>
      <c r="M5" s="43">
        <v>560</v>
      </c>
      <c r="N5" s="43">
        <f t="shared" si="0"/>
        <v>4210</v>
      </c>
      <c r="O5" s="44">
        <f t="shared" ref="O5:O6" si="1">N5/$N$52</f>
        <v>4.2706812558278061E-3</v>
      </c>
    </row>
    <row r="6" spans="1:15" s="54" customFormat="1" ht="16.8" x14ac:dyDescent="0.4">
      <c r="A6" s="42" t="s">
        <v>214</v>
      </c>
      <c r="B6" s="43">
        <v>14144</v>
      </c>
      <c r="C6" s="43">
        <v>13056</v>
      </c>
      <c r="D6" s="43">
        <v>14008</v>
      </c>
      <c r="E6" s="43">
        <v>14824</v>
      </c>
      <c r="F6" s="43">
        <v>20536</v>
      </c>
      <c r="G6" s="43">
        <v>16184</v>
      </c>
      <c r="H6" s="43">
        <v>16048</v>
      </c>
      <c r="I6" s="43">
        <v>14688</v>
      </c>
      <c r="J6" s="43">
        <v>16048</v>
      </c>
      <c r="K6" s="43">
        <v>14688</v>
      </c>
      <c r="L6" s="43">
        <v>13736</v>
      </c>
      <c r="M6" s="43">
        <v>13736</v>
      </c>
      <c r="N6" s="43">
        <f t="shared" si="0"/>
        <v>181696</v>
      </c>
      <c r="O6" s="44">
        <f t="shared" si="1"/>
        <v>0.1843148934581684</v>
      </c>
    </row>
    <row r="7" spans="1:15" s="54" customFormat="1" ht="16.8" x14ac:dyDescent="0.4">
      <c r="A7" s="42" t="s">
        <v>110</v>
      </c>
      <c r="B7" s="51"/>
      <c r="C7" s="51"/>
      <c r="D7" s="51">
        <v>85</v>
      </c>
      <c r="E7" s="51"/>
      <c r="F7" s="51">
        <v>85</v>
      </c>
      <c r="G7" s="51">
        <v>255</v>
      </c>
      <c r="H7" s="51">
        <v>255</v>
      </c>
      <c r="I7" s="51">
        <v>340</v>
      </c>
      <c r="J7" s="51">
        <v>85</v>
      </c>
      <c r="K7" s="51">
        <v>85</v>
      </c>
      <c r="L7" s="51">
        <v>85</v>
      </c>
      <c r="M7" s="51"/>
      <c r="N7" s="43">
        <f t="shared" si="0"/>
        <v>1275</v>
      </c>
      <c r="O7" s="44">
        <f t="shared" ref="O7:O52" si="2">N7/$N$52</f>
        <v>1.293377339947851E-3</v>
      </c>
    </row>
    <row r="8" spans="1:15" s="54" customFormat="1" ht="16.8" x14ac:dyDescent="0.4">
      <c r="A8" s="42" t="s">
        <v>215</v>
      </c>
      <c r="B8" s="51">
        <v>8211</v>
      </c>
      <c r="C8" s="51">
        <v>9520</v>
      </c>
      <c r="D8" s="51">
        <v>7854</v>
      </c>
      <c r="E8" s="51">
        <v>9877</v>
      </c>
      <c r="F8" s="51">
        <v>13804</v>
      </c>
      <c r="G8" s="51">
        <v>12138</v>
      </c>
      <c r="H8" s="51">
        <v>10829</v>
      </c>
      <c r="I8" s="51">
        <v>11186</v>
      </c>
      <c r="J8" s="51">
        <v>9639</v>
      </c>
      <c r="K8" s="51">
        <v>8687</v>
      </c>
      <c r="L8" s="51">
        <v>8211</v>
      </c>
      <c r="M8" s="51">
        <v>8925</v>
      </c>
      <c r="N8" s="43">
        <f t="shared" si="0"/>
        <v>118881</v>
      </c>
      <c r="O8" s="44">
        <f t="shared" si="2"/>
        <v>0.12059450317673762</v>
      </c>
    </row>
    <row r="9" spans="1:15" s="54" customFormat="1" ht="16.8" x14ac:dyDescent="0.4">
      <c r="A9" s="42" t="s">
        <v>216</v>
      </c>
      <c r="B9" s="51"/>
      <c r="C9" s="51"/>
      <c r="D9" s="51"/>
      <c r="E9" s="51"/>
      <c r="F9" s="51">
        <v>68</v>
      </c>
      <c r="G9" s="51"/>
      <c r="H9" s="51">
        <v>68</v>
      </c>
      <c r="I9" s="51"/>
      <c r="J9" s="51"/>
      <c r="K9" s="51"/>
      <c r="L9" s="51"/>
      <c r="M9" s="51"/>
      <c r="N9" s="43">
        <f t="shared" si="0"/>
        <v>136</v>
      </c>
      <c r="O9" s="44">
        <f t="shared" si="2"/>
        <v>1.3796024959443744E-4</v>
      </c>
    </row>
    <row r="10" spans="1:15" s="54" customFormat="1" ht="16.8" x14ac:dyDescent="0.4">
      <c r="A10" s="42" t="s">
        <v>156</v>
      </c>
      <c r="B10" s="52"/>
      <c r="C10" s="52"/>
      <c r="D10" s="52"/>
      <c r="E10" s="52"/>
      <c r="F10" s="52">
        <v>166.5</v>
      </c>
      <c r="G10" s="52">
        <v>877.5</v>
      </c>
      <c r="H10" s="52">
        <v>1602</v>
      </c>
      <c r="I10" s="52">
        <v>1138.5</v>
      </c>
      <c r="J10" s="52">
        <v>684</v>
      </c>
      <c r="K10" s="52"/>
      <c r="L10" s="52"/>
      <c r="M10" s="52"/>
      <c r="N10" s="43">
        <f t="shared" si="0"/>
        <v>4468.5</v>
      </c>
      <c r="O10" s="44">
        <f t="shared" si="2"/>
        <v>4.5329071714172329E-3</v>
      </c>
    </row>
    <row r="11" spans="1:15" s="54" customFormat="1" ht="16.8" x14ac:dyDescent="0.4">
      <c r="A11" s="42" t="s">
        <v>184</v>
      </c>
      <c r="B11" s="52">
        <v>80.5</v>
      </c>
      <c r="C11" s="52">
        <v>175</v>
      </c>
      <c r="D11" s="52">
        <v>290.5</v>
      </c>
      <c r="E11" s="52">
        <v>255.5</v>
      </c>
      <c r="F11" s="52">
        <v>399</v>
      </c>
      <c r="G11" s="52"/>
      <c r="H11" s="52"/>
      <c r="I11" s="52"/>
      <c r="J11" s="52"/>
      <c r="K11" s="52">
        <v>206.5</v>
      </c>
      <c r="L11" s="52">
        <v>115.5</v>
      </c>
      <c r="M11" s="52">
        <v>105</v>
      </c>
      <c r="N11" s="52">
        <f t="shared" si="0"/>
        <v>1627.5</v>
      </c>
      <c r="O11" s="44">
        <f t="shared" si="2"/>
        <v>1.6509581339334333E-3</v>
      </c>
    </row>
    <row r="12" spans="1:15" s="54" customFormat="1" ht="16.8" x14ac:dyDescent="0.4">
      <c r="A12" s="42" t="s">
        <v>111</v>
      </c>
      <c r="B12" s="52">
        <v>4240</v>
      </c>
      <c r="C12" s="52">
        <v>2650</v>
      </c>
      <c r="D12" s="52">
        <v>3922</v>
      </c>
      <c r="E12" s="52">
        <v>3339</v>
      </c>
      <c r="F12" s="52">
        <v>5989</v>
      </c>
      <c r="G12" s="52">
        <v>5459</v>
      </c>
      <c r="H12" s="52">
        <v>5618</v>
      </c>
      <c r="I12" s="52">
        <v>5512</v>
      </c>
      <c r="J12" s="52">
        <v>3922</v>
      </c>
      <c r="K12" s="52">
        <v>3710</v>
      </c>
      <c r="L12" s="52">
        <v>4028</v>
      </c>
      <c r="M12" s="52">
        <v>2862</v>
      </c>
      <c r="N12" s="52">
        <f t="shared" si="0"/>
        <v>51251</v>
      </c>
      <c r="O12" s="44">
        <f t="shared" si="2"/>
        <v>5.198971141150377E-2</v>
      </c>
    </row>
    <row r="13" spans="1:15" s="54" customFormat="1" ht="16.8" x14ac:dyDescent="0.4">
      <c r="A13" s="42" t="s">
        <v>157</v>
      </c>
      <c r="B13" s="52"/>
      <c r="C13" s="52"/>
      <c r="D13" s="52"/>
      <c r="E13" s="52"/>
      <c r="F13" s="52">
        <v>3566.5</v>
      </c>
      <c r="G13" s="52">
        <v>8778</v>
      </c>
      <c r="H13" s="52">
        <v>14696.5</v>
      </c>
      <c r="I13" s="52">
        <v>15036</v>
      </c>
      <c r="J13" s="52">
        <v>8365</v>
      </c>
      <c r="K13" s="52"/>
      <c r="L13" s="52"/>
      <c r="M13" s="52"/>
      <c r="N13" s="52">
        <f t="shared" si="0"/>
        <v>50442</v>
      </c>
      <c r="O13" s="44">
        <f t="shared" si="2"/>
        <v>5.1169050809136862E-2</v>
      </c>
    </row>
    <row r="14" spans="1:15" s="54" customFormat="1" ht="16.8" x14ac:dyDescent="0.4">
      <c r="A14" s="42" t="s">
        <v>180</v>
      </c>
      <c r="B14" s="52">
        <v>3742.5</v>
      </c>
      <c r="C14" s="52">
        <v>4070</v>
      </c>
      <c r="D14" s="52">
        <v>4965</v>
      </c>
      <c r="E14" s="52">
        <v>4800</v>
      </c>
      <c r="F14" s="52">
        <v>3845</v>
      </c>
      <c r="G14" s="52"/>
      <c r="H14" s="52"/>
      <c r="I14" s="52"/>
      <c r="J14" s="52"/>
      <c r="K14" s="52">
        <v>4457.5</v>
      </c>
      <c r="L14" s="52">
        <v>5082.5</v>
      </c>
      <c r="M14" s="52">
        <v>4792.5</v>
      </c>
      <c r="N14" s="52">
        <f t="shared" si="0"/>
        <v>35755</v>
      </c>
      <c r="O14" s="44">
        <f t="shared" si="2"/>
        <v>3.6270358266537579E-2</v>
      </c>
    </row>
    <row r="15" spans="1:15" s="54" customFormat="1" ht="16.8" x14ac:dyDescent="0.4">
      <c r="A15" s="42" t="s">
        <v>113</v>
      </c>
      <c r="B15" s="52"/>
      <c r="C15" s="52"/>
      <c r="D15" s="52"/>
      <c r="E15" s="52"/>
      <c r="F15" s="52">
        <v>11340</v>
      </c>
      <c r="G15" s="52">
        <v>27590</v>
      </c>
      <c r="H15" s="52">
        <v>37210</v>
      </c>
      <c r="I15" s="52">
        <v>38710</v>
      </c>
      <c r="J15" s="52">
        <v>25330</v>
      </c>
      <c r="K15" s="52"/>
      <c r="L15" s="52"/>
      <c r="M15" s="52"/>
      <c r="N15" s="52">
        <f t="shared" si="0"/>
        <v>140180</v>
      </c>
      <c r="O15" s="44">
        <f t="shared" si="2"/>
        <v>0.14220049844226645</v>
      </c>
    </row>
    <row r="16" spans="1:15" s="54" customFormat="1" ht="16.8" x14ac:dyDescent="0.4">
      <c r="A16" s="42" t="s">
        <v>179</v>
      </c>
      <c r="B16" s="52">
        <v>16088</v>
      </c>
      <c r="C16" s="52">
        <v>17120</v>
      </c>
      <c r="D16" s="52">
        <v>20728</v>
      </c>
      <c r="E16" s="52">
        <v>20872</v>
      </c>
      <c r="F16" s="52">
        <v>14776</v>
      </c>
      <c r="G16" s="52"/>
      <c r="H16" s="52"/>
      <c r="I16" s="52"/>
      <c r="J16" s="52"/>
      <c r="K16" s="52">
        <v>18936</v>
      </c>
      <c r="L16" s="52">
        <v>18240</v>
      </c>
      <c r="M16" s="52">
        <v>18752</v>
      </c>
      <c r="N16" s="52">
        <f t="shared" si="0"/>
        <v>145512</v>
      </c>
      <c r="O16" s="44">
        <f t="shared" si="2"/>
        <v>0.14760935175724837</v>
      </c>
    </row>
    <row r="17" spans="1:15" s="54" customFormat="1" ht="16.8" x14ac:dyDescent="0.4">
      <c r="A17" s="42" t="s">
        <v>114</v>
      </c>
      <c r="B17" s="52">
        <v>550</v>
      </c>
      <c r="C17" s="52"/>
      <c r="D17" s="52"/>
      <c r="E17" s="52"/>
      <c r="F17" s="52"/>
      <c r="G17" s="52"/>
      <c r="H17" s="52">
        <v>1000</v>
      </c>
      <c r="I17" s="52"/>
      <c r="J17" s="52">
        <v>100</v>
      </c>
      <c r="K17" s="52">
        <v>1000</v>
      </c>
      <c r="L17" s="52"/>
      <c r="M17" s="52">
        <f>200+450</f>
        <v>650</v>
      </c>
      <c r="N17" s="52">
        <f t="shared" si="0"/>
        <v>3300</v>
      </c>
      <c r="O17" s="44">
        <f t="shared" si="2"/>
        <v>3.3475648798650258E-3</v>
      </c>
    </row>
    <row r="18" spans="1:15" s="54" customFormat="1" ht="16.8" x14ac:dyDescent="0.4">
      <c r="A18" s="42" t="s">
        <v>7</v>
      </c>
      <c r="B18" s="52"/>
      <c r="C18" s="52"/>
      <c r="D18" s="52"/>
      <c r="E18" s="52"/>
      <c r="F18" s="52"/>
      <c r="G18" s="52"/>
      <c r="H18" s="52"/>
      <c r="I18" s="52">
        <v>240</v>
      </c>
      <c r="J18" s="52">
        <v>720</v>
      </c>
      <c r="K18" s="52">
        <v>720</v>
      </c>
      <c r="L18" s="52">
        <v>240</v>
      </c>
      <c r="M18" s="52"/>
      <c r="N18" s="52">
        <f t="shared" ref="N18" si="3">SUM(B18:M18)</f>
        <v>1920</v>
      </c>
      <c r="O18" s="44">
        <f t="shared" si="2"/>
        <v>1.9476741119214696E-3</v>
      </c>
    </row>
    <row r="19" spans="1:15" s="54" customFormat="1" ht="16.8" x14ac:dyDescent="0.4">
      <c r="A19" s="42" t="s">
        <v>158</v>
      </c>
      <c r="B19" s="52"/>
      <c r="C19" s="52"/>
      <c r="D19" s="52"/>
      <c r="E19" s="52"/>
      <c r="F19" s="52">
        <v>70</v>
      </c>
      <c r="G19" s="52">
        <v>441</v>
      </c>
      <c r="H19" s="52">
        <v>574</v>
      </c>
      <c r="I19" s="52">
        <v>532</v>
      </c>
      <c r="J19" s="52">
        <v>420</v>
      </c>
      <c r="K19" s="52"/>
      <c r="L19" s="52"/>
      <c r="M19" s="52"/>
      <c r="N19" s="52">
        <f t="shared" si="0"/>
        <v>2037</v>
      </c>
      <c r="O19" s="44">
        <f t="shared" si="2"/>
        <v>2.0663605031166843E-3</v>
      </c>
    </row>
    <row r="20" spans="1:15" s="54" customFormat="1" ht="16.8" x14ac:dyDescent="0.4">
      <c r="A20" s="42" t="s">
        <v>185</v>
      </c>
      <c r="B20" s="52">
        <v>50</v>
      </c>
      <c r="C20" s="52">
        <v>30</v>
      </c>
      <c r="D20" s="52">
        <v>60</v>
      </c>
      <c r="E20" s="52">
        <v>155</v>
      </c>
      <c r="F20" s="52">
        <v>150</v>
      </c>
      <c r="G20" s="52"/>
      <c r="H20" s="52"/>
      <c r="I20" s="52"/>
      <c r="J20" s="52"/>
      <c r="K20" s="52">
        <v>150</v>
      </c>
      <c r="L20" s="52">
        <v>50</v>
      </c>
      <c r="M20" s="52">
        <v>45</v>
      </c>
      <c r="N20" s="52">
        <f t="shared" si="0"/>
        <v>690</v>
      </c>
      <c r="O20" s="44">
        <f t="shared" si="2"/>
        <v>6.999453839717782E-4</v>
      </c>
    </row>
    <row r="21" spans="1:15" s="54" customFormat="1" ht="16.8" x14ac:dyDescent="0.4">
      <c r="A21" s="42" t="s">
        <v>10</v>
      </c>
      <c r="B21" s="52">
        <v>104.5</v>
      </c>
      <c r="C21" s="52">
        <v>99</v>
      </c>
      <c r="D21" s="52">
        <v>110</v>
      </c>
      <c r="E21" s="52">
        <v>93.5</v>
      </c>
      <c r="F21" s="52">
        <v>115.5</v>
      </c>
      <c r="G21" s="52">
        <v>71.5</v>
      </c>
      <c r="H21" s="52"/>
      <c r="I21" s="52"/>
      <c r="J21" s="52">
        <v>104.5</v>
      </c>
      <c r="K21" s="52">
        <v>121</v>
      </c>
      <c r="L21" s="52">
        <v>99</v>
      </c>
      <c r="M21" s="52">
        <v>82.5</v>
      </c>
      <c r="N21" s="52">
        <f>SUM(B21:M21)</f>
        <v>1001</v>
      </c>
      <c r="O21" s="44">
        <f t="shared" si="2"/>
        <v>1.0154280135590578E-3</v>
      </c>
    </row>
    <row r="22" spans="1:15" s="54" customFormat="1" ht="16.8" x14ac:dyDescent="0.4">
      <c r="A22" s="42" t="s">
        <v>11</v>
      </c>
      <c r="B22" s="52"/>
      <c r="C22" s="52"/>
      <c r="D22" s="52">
        <v>100</v>
      </c>
      <c r="E22" s="52">
        <v>340</v>
      </c>
      <c r="F22" s="52">
        <v>15</v>
      </c>
      <c r="G22" s="52">
        <v>25</v>
      </c>
      <c r="H22" s="52"/>
      <c r="I22" s="52">
        <v>40</v>
      </c>
      <c r="J22" s="52">
        <v>30</v>
      </c>
      <c r="K22" s="52">
        <v>55</v>
      </c>
      <c r="L22" s="52">
        <v>35</v>
      </c>
      <c r="M22" s="52"/>
      <c r="N22" s="52">
        <f t="shared" si="0"/>
        <v>640</v>
      </c>
      <c r="O22" s="44">
        <f t="shared" si="2"/>
        <v>6.4922470397382325E-4</v>
      </c>
    </row>
    <row r="23" spans="1:15" s="54" customFormat="1" ht="16.8" x14ac:dyDescent="0.4">
      <c r="A23" s="42" t="s">
        <v>159</v>
      </c>
      <c r="B23" s="52"/>
      <c r="C23" s="52"/>
      <c r="D23" s="52"/>
      <c r="E23" s="52"/>
      <c r="F23" s="52">
        <v>2763</v>
      </c>
      <c r="G23" s="52">
        <v>6768</v>
      </c>
      <c r="H23" s="52">
        <v>8136</v>
      </c>
      <c r="I23" s="52">
        <v>8478</v>
      </c>
      <c r="J23" s="52">
        <v>6066</v>
      </c>
      <c r="K23" s="52"/>
      <c r="L23" s="52"/>
      <c r="M23" s="52"/>
      <c r="N23" s="52">
        <f>SUM(B23:M23)</f>
        <v>32211</v>
      </c>
      <c r="O23" s="44">
        <f t="shared" si="2"/>
        <v>3.2675276468282534E-2</v>
      </c>
    </row>
    <row r="24" spans="1:15" s="54" customFormat="1" ht="16.8" x14ac:dyDescent="0.4">
      <c r="A24" s="42" t="s">
        <v>181</v>
      </c>
      <c r="B24" s="52">
        <v>3619</v>
      </c>
      <c r="C24" s="52">
        <v>3710</v>
      </c>
      <c r="D24" s="52">
        <v>4620</v>
      </c>
      <c r="E24" s="52">
        <v>5285</v>
      </c>
      <c r="F24" s="52">
        <v>3885</v>
      </c>
      <c r="G24" s="52"/>
      <c r="H24" s="52"/>
      <c r="I24" s="52"/>
      <c r="J24" s="52"/>
      <c r="K24" s="52">
        <v>4690</v>
      </c>
      <c r="L24" s="52">
        <v>4998</v>
      </c>
      <c r="M24" s="52">
        <v>5278</v>
      </c>
      <c r="N24" s="52">
        <f>SUM(B24:M24)</f>
        <v>36085</v>
      </c>
      <c r="O24" s="44">
        <f t="shared" si="2"/>
        <v>3.6605114754524076E-2</v>
      </c>
    </row>
    <row r="25" spans="1:15" s="54" customFormat="1" ht="16.8" x14ac:dyDescent="0.4">
      <c r="A25" s="42" t="s">
        <v>211</v>
      </c>
      <c r="B25" s="52"/>
      <c r="C25" s="52"/>
      <c r="D25" s="52"/>
      <c r="E25" s="52"/>
      <c r="F25" s="52">
        <v>1216</v>
      </c>
      <c r="G25" s="52">
        <v>2874</v>
      </c>
      <c r="H25" s="52">
        <v>5290</v>
      </c>
      <c r="I25" s="52">
        <v>5300</v>
      </c>
      <c r="J25" s="52">
        <v>2142</v>
      </c>
      <c r="K25" s="52"/>
      <c r="L25" s="52"/>
      <c r="M25" s="52"/>
      <c r="N25" s="52">
        <f>SUM(B25:M25)</f>
        <v>16822</v>
      </c>
      <c r="O25" s="44">
        <f t="shared" si="2"/>
        <v>1.7064465578511958E-2</v>
      </c>
    </row>
    <row r="26" spans="1:15" s="54" customFormat="1" ht="16.8" x14ac:dyDescent="0.4">
      <c r="A26" s="42" t="s">
        <v>212</v>
      </c>
      <c r="B26" s="52">
        <v>880.5</v>
      </c>
      <c r="C26" s="52">
        <v>993</v>
      </c>
      <c r="D26" s="52">
        <v>1278</v>
      </c>
      <c r="E26" s="52">
        <v>1509</v>
      </c>
      <c r="F26" s="52">
        <v>1041</v>
      </c>
      <c r="G26" s="52"/>
      <c r="H26" s="52"/>
      <c r="I26" s="52"/>
      <c r="J26" s="52"/>
      <c r="K26" s="52">
        <v>1174.5</v>
      </c>
      <c r="L26" s="52">
        <v>1311</v>
      </c>
      <c r="M26" s="52">
        <v>1155</v>
      </c>
      <c r="N26" s="52">
        <f>SUM(B26:M26)</f>
        <v>9342</v>
      </c>
      <c r="O26" s="44">
        <f t="shared" si="2"/>
        <v>9.4766518508179014E-3</v>
      </c>
    </row>
    <row r="27" spans="1:15" s="54" customFormat="1" ht="16.8" x14ac:dyDescent="0.4">
      <c r="A27" s="42" t="s">
        <v>186</v>
      </c>
      <c r="B27" s="52"/>
      <c r="C27" s="52"/>
      <c r="D27" s="52"/>
      <c r="E27" s="52"/>
      <c r="F27" s="52"/>
      <c r="G27" s="52">
        <v>36</v>
      </c>
      <c r="H27" s="52">
        <v>18</v>
      </c>
      <c r="I27" s="52">
        <v>24</v>
      </c>
      <c r="J27" s="52">
        <v>30</v>
      </c>
      <c r="K27" s="52"/>
      <c r="L27" s="52"/>
      <c r="M27" s="52"/>
      <c r="N27" s="52">
        <f t="shared" si="0"/>
        <v>108</v>
      </c>
      <c r="O27" s="44">
        <f t="shared" si="2"/>
        <v>1.0955666879558267E-4</v>
      </c>
    </row>
    <row r="28" spans="1:15" s="54" customFormat="1" ht="16.8" x14ac:dyDescent="0.4">
      <c r="A28" s="42" t="s">
        <v>182</v>
      </c>
      <c r="B28" s="52"/>
      <c r="C28" s="52">
        <v>4</v>
      </c>
      <c r="D28" s="52">
        <v>12</v>
      </c>
      <c r="E28" s="52"/>
      <c r="F28" s="52"/>
      <c r="G28" s="52"/>
      <c r="H28" s="52"/>
      <c r="I28" s="52"/>
      <c r="J28" s="52"/>
      <c r="K28" s="52">
        <v>12</v>
      </c>
      <c r="L28" s="52"/>
      <c r="M28" s="52"/>
      <c r="N28" s="52">
        <f t="shared" si="0"/>
        <v>28</v>
      </c>
      <c r="O28" s="44">
        <f t="shared" si="2"/>
        <v>2.8403580798854766E-5</v>
      </c>
    </row>
    <row r="29" spans="1:15" s="54" customFormat="1" ht="16.8" x14ac:dyDescent="0.4">
      <c r="A29" s="42" t="s">
        <v>14</v>
      </c>
      <c r="B29" s="52">
        <v>1728</v>
      </c>
      <c r="C29" s="52">
        <v>1760</v>
      </c>
      <c r="D29" s="52">
        <v>1856</v>
      </c>
      <c r="E29" s="52">
        <v>2144</v>
      </c>
      <c r="F29" s="52">
        <v>3072</v>
      </c>
      <c r="G29" s="52">
        <v>2784</v>
      </c>
      <c r="H29" s="52">
        <v>2912</v>
      </c>
      <c r="I29" s="52">
        <v>2944</v>
      </c>
      <c r="J29" s="52">
        <v>2464</v>
      </c>
      <c r="K29" s="52">
        <v>2208</v>
      </c>
      <c r="L29" s="52">
        <v>1536</v>
      </c>
      <c r="M29" s="52">
        <v>1856</v>
      </c>
      <c r="N29" s="52">
        <f>SUM(B29:M29)</f>
        <v>27264</v>
      </c>
      <c r="O29" s="44">
        <f t="shared" si="2"/>
        <v>2.765697238928487E-2</v>
      </c>
    </row>
    <row r="30" spans="1:15" s="54" customFormat="1" ht="16.8" x14ac:dyDescent="0.4">
      <c r="A30" s="42" t="s">
        <v>162</v>
      </c>
      <c r="B30" s="52"/>
      <c r="C30" s="52"/>
      <c r="D30" s="52"/>
      <c r="E30" s="52"/>
      <c r="F30" s="52">
        <v>33</v>
      </c>
      <c r="G30" s="52">
        <v>222</v>
      </c>
      <c r="H30" s="52">
        <v>420</v>
      </c>
      <c r="I30" s="52">
        <v>279</v>
      </c>
      <c r="J30" s="52">
        <v>96</v>
      </c>
      <c r="K30" s="52"/>
      <c r="L30" s="52"/>
      <c r="M30" s="52"/>
      <c r="N30" s="52">
        <f t="shared" si="0"/>
        <v>1050</v>
      </c>
      <c r="O30" s="44">
        <f t="shared" si="2"/>
        <v>1.0651342799570538E-3</v>
      </c>
    </row>
    <row r="31" spans="1:15" s="54" customFormat="1" ht="16.8" x14ac:dyDescent="0.4">
      <c r="A31" s="42" t="s">
        <v>183</v>
      </c>
      <c r="B31" s="52">
        <v>30</v>
      </c>
      <c r="C31" s="52">
        <v>32.5</v>
      </c>
      <c r="D31" s="52">
        <v>40</v>
      </c>
      <c r="E31" s="52">
        <v>75</v>
      </c>
      <c r="F31" s="52">
        <v>97.5</v>
      </c>
      <c r="G31" s="52"/>
      <c r="H31" s="52"/>
      <c r="I31" s="52"/>
      <c r="J31" s="52"/>
      <c r="K31" s="52">
        <v>45</v>
      </c>
      <c r="L31" s="52">
        <v>25</v>
      </c>
      <c r="M31" s="52">
        <v>10</v>
      </c>
      <c r="N31" s="52">
        <f t="shared" si="0"/>
        <v>355</v>
      </c>
      <c r="O31" s="44">
        <f t="shared" si="2"/>
        <v>3.6011682798548004E-4</v>
      </c>
    </row>
    <row r="32" spans="1:15" s="54" customFormat="1" ht="16.8" x14ac:dyDescent="0.4">
      <c r="A32" s="42" t="s">
        <v>196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>
        <f t="shared" si="0"/>
        <v>0</v>
      </c>
      <c r="O32" s="44">
        <f t="shared" si="2"/>
        <v>0</v>
      </c>
    </row>
    <row r="33" spans="1:15" s="54" customFormat="1" ht="16.8" x14ac:dyDescent="0.4">
      <c r="A33" s="42" t="s">
        <v>163</v>
      </c>
      <c r="B33" s="52"/>
      <c r="C33" s="52"/>
      <c r="D33" s="52"/>
      <c r="E33" s="52"/>
      <c r="F33" s="52">
        <v>1694</v>
      </c>
      <c r="G33" s="52">
        <v>4102</v>
      </c>
      <c r="H33" s="52">
        <v>3640</v>
      </c>
      <c r="I33" s="52">
        <v>3766</v>
      </c>
      <c r="J33" s="52">
        <v>3892</v>
      </c>
      <c r="K33" s="52"/>
      <c r="L33" s="52"/>
      <c r="M33" s="52"/>
      <c r="N33" s="52">
        <f t="shared" si="0"/>
        <v>17094</v>
      </c>
      <c r="O33" s="44">
        <f t="shared" si="2"/>
        <v>1.7340386077700835E-2</v>
      </c>
    </row>
    <row r="34" spans="1:15" s="54" customFormat="1" ht="16.8" x14ac:dyDescent="0.4">
      <c r="A34" s="42" t="s">
        <v>187</v>
      </c>
      <c r="B34" s="52">
        <v>2222</v>
      </c>
      <c r="C34" s="52">
        <v>2299</v>
      </c>
      <c r="D34" s="52">
        <v>3201</v>
      </c>
      <c r="E34" s="52">
        <v>2827</v>
      </c>
      <c r="F34" s="52">
        <v>1793</v>
      </c>
      <c r="G34" s="52"/>
      <c r="H34" s="52"/>
      <c r="I34" s="52"/>
      <c r="J34" s="52"/>
      <c r="K34" s="52">
        <v>3091</v>
      </c>
      <c r="L34" s="52">
        <v>2211</v>
      </c>
      <c r="M34" s="52">
        <v>1980</v>
      </c>
      <c r="N34" s="52">
        <f t="shared" si="0"/>
        <v>19624</v>
      </c>
      <c r="O34" s="44">
        <f t="shared" si="2"/>
        <v>1.9906852485597353E-2</v>
      </c>
    </row>
    <row r="35" spans="1:15" s="54" customFormat="1" ht="16.8" x14ac:dyDescent="0.4">
      <c r="A35" s="42" t="s">
        <v>164</v>
      </c>
      <c r="B35" s="52"/>
      <c r="C35" s="52"/>
      <c r="D35" s="52"/>
      <c r="E35" s="52"/>
      <c r="F35" s="52">
        <v>540</v>
      </c>
      <c r="G35" s="52">
        <v>1260</v>
      </c>
      <c r="H35" s="52">
        <v>1800</v>
      </c>
      <c r="I35" s="52">
        <v>2000</v>
      </c>
      <c r="J35" s="52">
        <v>2340</v>
      </c>
      <c r="K35" s="52"/>
      <c r="L35" s="52"/>
      <c r="M35" s="52"/>
      <c r="N35" s="52">
        <f t="shared" si="0"/>
        <v>7940</v>
      </c>
      <c r="O35" s="44">
        <f t="shared" si="2"/>
        <v>8.0544439836752451E-3</v>
      </c>
    </row>
    <row r="36" spans="1:15" s="54" customFormat="1" ht="16.8" x14ac:dyDescent="0.4">
      <c r="A36" s="42" t="s">
        <v>188</v>
      </c>
      <c r="B36" s="52">
        <v>944</v>
      </c>
      <c r="C36" s="52">
        <v>704</v>
      </c>
      <c r="D36" s="52">
        <v>1552</v>
      </c>
      <c r="E36" s="52">
        <v>1712</v>
      </c>
      <c r="F36" s="52">
        <v>832</v>
      </c>
      <c r="G36" s="52"/>
      <c r="H36" s="52"/>
      <c r="I36" s="52"/>
      <c r="J36" s="52"/>
      <c r="K36" s="52">
        <v>1424</v>
      </c>
      <c r="L36" s="52">
        <v>1888</v>
      </c>
      <c r="M36" s="52">
        <v>864</v>
      </c>
      <c r="N36" s="52">
        <f t="shared" si="0"/>
        <v>9920</v>
      </c>
      <c r="O36" s="44">
        <f t="shared" si="2"/>
        <v>1.006298291159426E-2</v>
      </c>
    </row>
    <row r="37" spans="1:15" s="54" customFormat="1" ht="16.8" x14ac:dyDescent="0.4">
      <c r="A37" s="42" t="s">
        <v>165</v>
      </c>
      <c r="B37" s="52"/>
      <c r="C37" s="52"/>
      <c r="D37" s="52"/>
      <c r="E37" s="52"/>
      <c r="F37" s="52">
        <v>728</v>
      </c>
      <c r="G37" s="52">
        <v>1950</v>
      </c>
      <c r="H37" s="52">
        <v>2132</v>
      </c>
      <c r="I37" s="52">
        <v>2314</v>
      </c>
      <c r="J37" s="52">
        <v>1456</v>
      </c>
      <c r="K37" s="52"/>
      <c r="L37" s="52"/>
      <c r="M37" s="52"/>
      <c r="N37" s="52">
        <f t="shared" si="0"/>
        <v>8580</v>
      </c>
      <c r="O37" s="44">
        <f t="shared" si="2"/>
        <v>8.7036686876490674E-3</v>
      </c>
    </row>
    <row r="38" spans="1:15" s="54" customFormat="1" ht="16.8" x14ac:dyDescent="0.4">
      <c r="A38" s="42" t="s">
        <v>189</v>
      </c>
      <c r="B38" s="52">
        <v>903</v>
      </c>
      <c r="C38" s="52">
        <v>882</v>
      </c>
      <c r="D38" s="52">
        <v>1050</v>
      </c>
      <c r="E38" s="52">
        <v>1323</v>
      </c>
      <c r="F38" s="52">
        <v>1197</v>
      </c>
      <c r="G38" s="52"/>
      <c r="H38" s="52"/>
      <c r="I38" s="52"/>
      <c r="J38" s="52"/>
      <c r="K38" s="52">
        <v>1575</v>
      </c>
      <c r="L38" s="52">
        <v>987</v>
      </c>
      <c r="M38" s="52">
        <v>609</v>
      </c>
      <c r="N38" s="52">
        <f t="shared" si="0"/>
        <v>8526</v>
      </c>
      <c r="O38" s="44">
        <f t="shared" si="2"/>
        <v>8.6488903532512765E-3</v>
      </c>
    </row>
    <row r="39" spans="1:15" s="54" customFormat="1" ht="16.8" x14ac:dyDescent="0.4">
      <c r="A39" s="42" t="s">
        <v>166</v>
      </c>
      <c r="B39" s="52"/>
      <c r="C39" s="52"/>
      <c r="D39" s="52"/>
      <c r="E39" s="52"/>
      <c r="F39" s="52">
        <v>748</v>
      </c>
      <c r="G39" s="52">
        <v>1394</v>
      </c>
      <c r="H39" s="52">
        <v>2856</v>
      </c>
      <c r="I39" s="52">
        <v>2550</v>
      </c>
      <c r="J39" s="52">
        <v>1530</v>
      </c>
      <c r="K39" s="52"/>
      <c r="L39" s="52"/>
      <c r="M39" s="52"/>
      <c r="N39" s="52">
        <f t="shared" si="0"/>
        <v>9078</v>
      </c>
      <c r="O39" s="44">
        <f t="shared" si="2"/>
        <v>9.2088466604286993E-3</v>
      </c>
    </row>
    <row r="40" spans="1:15" s="54" customFormat="1" ht="16.8" x14ac:dyDescent="0.4">
      <c r="A40" s="42" t="s">
        <v>190</v>
      </c>
      <c r="B40" s="52">
        <v>756</v>
      </c>
      <c r="C40" s="52">
        <v>810</v>
      </c>
      <c r="D40" s="52">
        <v>1215</v>
      </c>
      <c r="E40" s="52">
        <v>1188</v>
      </c>
      <c r="F40" s="52">
        <v>675</v>
      </c>
      <c r="G40" s="52"/>
      <c r="H40" s="52"/>
      <c r="I40" s="52"/>
      <c r="J40" s="52"/>
      <c r="K40" s="52">
        <v>1431</v>
      </c>
      <c r="L40" s="52">
        <v>702</v>
      </c>
      <c r="M40" s="52">
        <v>432</v>
      </c>
      <c r="N40" s="52">
        <f t="shared" si="0"/>
        <v>7209</v>
      </c>
      <c r="O40" s="44">
        <f t="shared" si="2"/>
        <v>7.3129076421051429E-3</v>
      </c>
    </row>
    <row r="41" spans="1:15" s="54" customFormat="1" ht="16.8" x14ac:dyDescent="0.4">
      <c r="A41" s="42" t="s">
        <v>167</v>
      </c>
      <c r="B41" s="52"/>
      <c r="C41" s="52"/>
      <c r="D41" s="52"/>
      <c r="E41" s="52"/>
      <c r="F41" s="52">
        <v>430</v>
      </c>
      <c r="G41" s="52">
        <v>559</v>
      </c>
      <c r="H41" s="52">
        <v>1161</v>
      </c>
      <c r="I41" s="52">
        <v>1806</v>
      </c>
      <c r="J41" s="52">
        <v>1247</v>
      </c>
      <c r="K41" s="52"/>
      <c r="L41" s="52"/>
      <c r="M41" s="52"/>
      <c r="N41" s="52">
        <f t="shared" si="0"/>
        <v>5203</v>
      </c>
      <c r="O41" s="44">
        <f t="shared" si="2"/>
        <v>5.2779939605871913E-3</v>
      </c>
    </row>
    <row r="42" spans="1:15" s="54" customFormat="1" ht="16.8" x14ac:dyDescent="0.4">
      <c r="A42" s="42" t="s">
        <v>191</v>
      </c>
      <c r="B42" s="52">
        <v>476</v>
      </c>
      <c r="C42" s="52">
        <v>340</v>
      </c>
      <c r="D42" s="52">
        <v>510</v>
      </c>
      <c r="E42" s="52">
        <v>646</v>
      </c>
      <c r="F42" s="52">
        <v>442</v>
      </c>
      <c r="G42" s="52"/>
      <c r="H42" s="52"/>
      <c r="I42" s="52"/>
      <c r="J42" s="52"/>
      <c r="K42" s="52">
        <v>782</v>
      </c>
      <c r="L42" s="52">
        <v>578</v>
      </c>
      <c r="M42" s="52">
        <v>442</v>
      </c>
      <c r="N42" s="52">
        <f t="shared" si="0"/>
        <v>4216</v>
      </c>
      <c r="O42" s="44">
        <f t="shared" si="2"/>
        <v>4.2767677374275608E-3</v>
      </c>
    </row>
    <row r="43" spans="1:15" s="54" customFormat="1" ht="16.8" x14ac:dyDescent="0.4">
      <c r="A43" s="42" t="s">
        <v>168</v>
      </c>
      <c r="B43" s="52"/>
      <c r="C43" s="52"/>
      <c r="D43" s="52"/>
      <c r="E43" s="52"/>
      <c r="F43" s="52">
        <v>106</v>
      </c>
      <c r="G43" s="52">
        <v>265</v>
      </c>
      <c r="H43" s="52">
        <v>848</v>
      </c>
      <c r="I43" s="52">
        <v>689</v>
      </c>
      <c r="J43" s="52">
        <v>583</v>
      </c>
      <c r="K43" s="52"/>
      <c r="L43" s="52"/>
      <c r="M43" s="52"/>
      <c r="N43" s="52">
        <f t="shared" si="0"/>
        <v>2491</v>
      </c>
      <c r="O43" s="44">
        <f t="shared" si="2"/>
        <v>2.5269042774981152E-3</v>
      </c>
    </row>
    <row r="44" spans="1:15" s="54" customFormat="1" ht="16.8" x14ac:dyDescent="0.4">
      <c r="A44" s="42" t="s">
        <v>192</v>
      </c>
      <c r="B44" s="52">
        <v>42</v>
      </c>
      <c r="C44" s="52">
        <v>294</v>
      </c>
      <c r="D44" s="52">
        <v>168</v>
      </c>
      <c r="E44" s="52">
        <v>378</v>
      </c>
      <c r="F44" s="52">
        <v>210</v>
      </c>
      <c r="G44" s="52"/>
      <c r="H44" s="52"/>
      <c r="I44" s="52"/>
      <c r="J44" s="52"/>
      <c r="K44" s="52">
        <v>462</v>
      </c>
      <c r="L44" s="52">
        <v>210</v>
      </c>
      <c r="M44" s="52">
        <v>126</v>
      </c>
      <c r="N44" s="52">
        <f t="shared" si="0"/>
        <v>1890</v>
      </c>
      <c r="O44" s="44">
        <f t="shared" si="2"/>
        <v>1.9172417039226967E-3</v>
      </c>
    </row>
    <row r="45" spans="1:15" s="54" customFormat="1" ht="16.8" x14ac:dyDescent="0.4">
      <c r="A45" s="42" t="s">
        <v>169</v>
      </c>
      <c r="B45" s="52"/>
      <c r="C45" s="52"/>
      <c r="D45" s="52"/>
      <c r="E45" s="52"/>
      <c r="F45" s="52"/>
      <c r="G45" s="52">
        <v>128</v>
      </c>
      <c r="H45" s="52">
        <v>384</v>
      </c>
      <c r="I45" s="52">
        <v>384</v>
      </c>
      <c r="J45" s="52">
        <v>128</v>
      </c>
      <c r="K45" s="52"/>
      <c r="L45" s="52"/>
      <c r="M45" s="52"/>
      <c r="N45" s="52">
        <f t="shared" si="0"/>
        <v>1024</v>
      </c>
      <c r="O45" s="44">
        <f t="shared" si="2"/>
        <v>1.0387595263581172E-3</v>
      </c>
    </row>
    <row r="46" spans="1:15" s="54" customFormat="1" ht="16.8" x14ac:dyDescent="0.4">
      <c r="A46" s="42" t="s">
        <v>193</v>
      </c>
      <c r="B46" s="52"/>
      <c r="C46" s="52"/>
      <c r="D46" s="52">
        <v>204</v>
      </c>
      <c r="E46" s="52">
        <v>204</v>
      </c>
      <c r="F46" s="52">
        <v>51</v>
      </c>
      <c r="G46" s="52"/>
      <c r="H46" s="52"/>
      <c r="I46" s="52"/>
      <c r="J46" s="52"/>
      <c r="K46" s="52">
        <v>204</v>
      </c>
      <c r="L46" s="52">
        <v>51</v>
      </c>
      <c r="M46" s="52">
        <v>51</v>
      </c>
      <c r="N46" s="52">
        <f t="shared" si="0"/>
        <v>765</v>
      </c>
      <c r="O46" s="44">
        <f t="shared" si="2"/>
        <v>7.7602640396871056E-4</v>
      </c>
    </row>
    <row r="47" spans="1:15" s="54" customFormat="1" ht="16.8" x14ac:dyDescent="0.4">
      <c r="A47" s="42" t="s">
        <v>170</v>
      </c>
      <c r="B47" s="52"/>
      <c r="C47" s="52"/>
      <c r="D47" s="52"/>
      <c r="E47" s="52"/>
      <c r="F47" s="52"/>
      <c r="G47" s="52"/>
      <c r="H47" s="52">
        <v>150</v>
      </c>
      <c r="I47" s="52">
        <v>150</v>
      </c>
      <c r="J47" s="52">
        <v>75</v>
      </c>
      <c r="K47" s="52"/>
      <c r="L47" s="52"/>
      <c r="M47" s="52"/>
      <c r="N47" s="52">
        <f t="shared" si="0"/>
        <v>375</v>
      </c>
      <c r="O47" s="44">
        <f t="shared" si="2"/>
        <v>3.8040509998466204E-4</v>
      </c>
    </row>
    <row r="48" spans="1:15" s="54" customFormat="1" ht="16.8" x14ac:dyDescent="0.4">
      <c r="A48" s="42" t="s">
        <v>194</v>
      </c>
      <c r="B48" s="52">
        <v>1200</v>
      </c>
      <c r="C48" s="52">
        <v>360</v>
      </c>
      <c r="D48" s="52">
        <v>180</v>
      </c>
      <c r="E48" s="52">
        <v>60</v>
      </c>
      <c r="F48" s="52"/>
      <c r="G48" s="52"/>
      <c r="H48" s="52"/>
      <c r="I48" s="52"/>
      <c r="J48" s="52"/>
      <c r="K48" s="52">
        <v>240</v>
      </c>
      <c r="L48" s="52">
        <v>120</v>
      </c>
      <c r="M48" s="52"/>
      <c r="N48" s="52">
        <f t="shared" si="0"/>
        <v>2160</v>
      </c>
      <c r="O48" s="44">
        <f t="shared" si="2"/>
        <v>2.1911333759116534E-3</v>
      </c>
    </row>
    <row r="49" spans="1:15" s="54" customFormat="1" ht="16.8" x14ac:dyDescent="0.4">
      <c r="A49" s="42" t="s">
        <v>171</v>
      </c>
      <c r="B49" s="52"/>
      <c r="C49" s="52"/>
      <c r="D49" s="52"/>
      <c r="E49" s="52"/>
      <c r="F49" s="52">
        <v>178</v>
      </c>
      <c r="G49" s="52">
        <v>534</v>
      </c>
      <c r="H49" s="52">
        <v>89</v>
      </c>
      <c r="I49" s="52">
        <v>445</v>
      </c>
      <c r="J49" s="52">
        <v>267</v>
      </c>
      <c r="K49" s="52"/>
      <c r="L49" s="52"/>
      <c r="M49" s="52"/>
      <c r="N49" s="52">
        <f t="shared" si="0"/>
        <v>1513</v>
      </c>
      <c r="O49" s="44">
        <f t="shared" si="2"/>
        <v>1.5348077767381165E-3</v>
      </c>
    </row>
    <row r="50" spans="1:15" s="54" customFormat="1" ht="16.8" x14ac:dyDescent="0.4">
      <c r="A50" s="42" t="s">
        <v>195</v>
      </c>
      <c r="B50" s="52"/>
      <c r="C50" s="52">
        <v>71</v>
      </c>
      <c r="D50" s="52">
        <v>781</v>
      </c>
      <c r="E50" s="52">
        <v>2414</v>
      </c>
      <c r="F50" s="52"/>
      <c r="G50" s="52"/>
      <c r="H50" s="52"/>
      <c r="I50" s="52"/>
      <c r="J50" s="52"/>
      <c r="K50" s="52">
        <v>497</v>
      </c>
      <c r="L50" s="52">
        <v>284</v>
      </c>
      <c r="M50" s="52"/>
      <c r="N50" s="52">
        <f t="shared" si="0"/>
        <v>4047</v>
      </c>
      <c r="O50" s="44">
        <f t="shared" si="2"/>
        <v>4.1053318390344724E-3</v>
      </c>
    </row>
    <row r="51" spans="1:15" s="54" customFormat="1" ht="16.8" x14ac:dyDescent="0.4">
      <c r="A51" s="42" t="s">
        <v>198</v>
      </c>
      <c r="B51" s="52">
        <v>11.4</v>
      </c>
      <c r="C51" s="52">
        <v>10.8</v>
      </c>
      <c r="D51" s="52">
        <v>12</v>
      </c>
      <c r="E51" s="52">
        <v>10.199999999999999</v>
      </c>
      <c r="F51" s="52">
        <v>12.6</v>
      </c>
      <c r="G51" s="52">
        <v>7.8</v>
      </c>
      <c r="H51" s="52"/>
      <c r="I51" s="52"/>
      <c r="J51" s="52">
        <v>11.4</v>
      </c>
      <c r="K51" s="52">
        <v>13.2</v>
      </c>
      <c r="L51" s="52">
        <v>10.8</v>
      </c>
      <c r="M51" s="52">
        <v>9</v>
      </c>
      <c r="N51" s="52">
        <f t="shared" si="0"/>
        <v>109.20000000000002</v>
      </c>
      <c r="O51" s="44">
        <f t="shared" si="2"/>
        <v>1.107739651155336E-4</v>
      </c>
    </row>
    <row r="52" spans="1:15" ht="16.8" x14ac:dyDescent="0.4">
      <c r="A52" s="5" t="s">
        <v>25</v>
      </c>
      <c r="B52" s="39">
        <f t="shared" ref="B52:M52" si="4">SUM(B4:B51)</f>
        <v>60752.4</v>
      </c>
      <c r="C52" s="39">
        <f t="shared" si="4"/>
        <v>59680.3</v>
      </c>
      <c r="D52" s="39">
        <f t="shared" si="4"/>
        <v>69581.5</v>
      </c>
      <c r="E52" s="39">
        <f t="shared" si="4"/>
        <v>74701.2</v>
      </c>
      <c r="F52" s="39">
        <f t="shared" si="4"/>
        <v>97679.6</v>
      </c>
      <c r="G52" s="39">
        <f t="shared" si="4"/>
        <v>96132.800000000003</v>
      </c>
      <c r="H52" s="39">
        <f t="shared" si="4"/>
        <v>118716.5</v>
      </c>
      <c r="I52" s="39">
        <f t="shared" si="4"/>
        <v>118931.5</v>
      </c>
      <c r="J52" s="39">
        <f t="shared" si="4"/>
        <v>88054.9</v>
      </c>
      <c r="K52" s="39">
        <f t="shared" si="4"/>
        <v>72304.7</v>
      </c>
      <c r="L52" s="39">
        <f t="shared" si="4"/>
        <v>65213.8</v>
      </c>
      <c r="M52" s="39">
        <f t="shared" si="4"/>
        <v>64042</v>
      </c>
      <c r="N52" s="9">
        <f t="shared" si="0"/>
        <v>985791.20000000007</v>
      </c>
      <c r="O52" s="10">
        <f t="shared" si="2"/>
        <v>1</v>
      </c>
    </row>
    <row r="53" spans="1:15" ht="16.8" x14ac:dyDescent="0.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6.8" x14ac:dyDescent="0.4">
      <c r="A56" s="4" t="s">
        <v>148</v>
      </c>
      <c r="B56" s="39">
        <f t="shared" ref="B56:D56" si="5">+B4+B7+B8+B9+B15+B16+B19+B20+B22+B23+B24+B27+B28+B33+B34+B35+B36+B37+B38+B39+B40+B41+B42+B43+B44+B45+B46+B47+B48+B49+B50+B5+B6</f>
        <v>49385</v>
      </c>
      <c r="C56" s="39">
        <f t="shared" si="5"/>
        <v>49890</v>
      </c>
      <c r="D56" s="39">
        <f t="shared" si="5"/>
        <v>57108</v>
      </c>
      <c r="E56" s="39">
        <f>+E4+E7+E8+E9+E15+E16+E19+E20+E22+E23+E24+E27+E28+E33+E34+E35+E36+E37+E38+E39+E40+E41+E42+E43+E44+E45+E46+E47+E48+E49+E50+E5+E6</f>
        <v>62475</v>
      </c>
      <c r="F56" s="39">
        <f t="shared" ref="F56:H56" si="6">+F4+F7+F8+F9+F15+F16+F19+F20+F22+F23+F24+F27+F28+F33+F34+F35+F36+F37+F38+F39+F40+F41+F42+F43+F44+F45+F46+F47+F48+F49+F50+F5+F6</f>
        <v>78126</v>
      </c>
      <c r="G56" s="39">
        <f t="shared" si="6"/>
        <v>75059</v>
      </c>
      <c r="H56" s="39">
        <f t="shared" si="6"/>
        <v>87178</v>
      </c>
      <c r="I56" s="39">
        <f>+I4+I7+I8+I9+I15+I16+I19+I20+I22+I23+I24+I27+I28+I33+I34+I35+I36+I37+I38+I39+I40+I41+I42+I43+I44+I45+I46+I47+I48+I49+I50+I5+I6+I18</f>
        <v>88722</v>
      </c>
      <c r="J56" s="39">
        <f t="shared" ref="J56:M56" si="7">+J4+J7+J8+J9+J15+J16+J19+J20+J22+J23+J24+J27+J28+J33+J34+J35+J36+J37+J38+J39+J40+J41+J42+J43+J44+J45+J46+J47+J48+J49+J50+J5+J6+J18</f>
        <v>70166</v>
      </c>
      <c r="K56" s="39">
        <f t="shared" si="7"/>
        <v>59369</v>
      </c>
      <c r="L56" s="39">
        <f t="shared" si="7"/>
        <v>53006</v>
      </c>
      <c r="M56" s="39">
        <f t="shared" si="7"/>
        <v>52520</v>
      </c>
      <c r="N56" s="39">
        <f t="shared" ref="N56" si="8">+N4+N7+N8+N9+N15+N16+N19+N20+N22+N23+N24+N27+N28+N33+N34+N35+N36+N37+N38+N39+N40+N41+N42+N43+N44+N45+N46+N47+N48+N49+N50+N5+N6+N18</f>
        <v>783004</v>
      </c>
      <c r="O56" s="4"/>
    </row>
    <row r="57" spans="1:15" s="56" customFormat="1" ht="16.8" x14ac:dyDescent="0.4">
      <c r="A57" s="55" t="s">
        <v>149</v>
      </c>
      <c r="B57" s="50">
        <f>+B10+B11+B12+B13+B14+B17+B21+B25+B26+B29+B30+B31+B51</f>
        <v>11367.4</v>
      </c>
      <c r="C57" s="50">
        <f t="shared" ref="C57:M57" si="9">+C10+C11+C12+C13+C14+C17+C21+C25+C26+C29+C30+C31+C51</f>
        <v>9790.2999999999993</v>
      </c>
      <c r="D57" s="50">
        <f t="shared" si="9"/>
        <v>12473.5</v>
      </c>
      <c r="E57" s="50">
        <f t="shared" si="9"/>
        <v>12226.2</v>
      </c>
      <c r="F57" s="50">
        <f t="shared" si="9"/>
        <v>19553.599999999999</v>
      </c>
      <c r="G57" s="50">
        <f t="shared" si="9"/>
        <v>21073.8</v>
      </c>
      <c r="H57" s="50">
        <f t="shared" si="9"/>
        <v>31538.5</v>
      </c>
      <c r="I57" s="50">
        <f t="shared" si="9"/>
        <v>30209.5</v>
      </c>
      <c r="J57" s="50">
        <f t="shared" si="9"/>
        <v>17888.900000000001</v>
      </c>
      <c r="K57" s="50">
        <f t="shared" si="9"/>
        <v>12935.7</v>
      </c>
      <c r="L57" s="50">
        <f t="shared" si="9"/>
        <v>12207.8</v>
      </c>
      <c r="M57" s="50">
        <f t="shared" si="9"/>
        <v>11522</v>
      </c>
      <c r="N57" s="50">
        <f t="shared" ref="N57" si="10">+N10+N11+N12+N13+N14+N17+N21+N25+N26+N29+N30+N31+N51</f>
        <v>202787.20000000001</v>
      </c>
      <c r="O57" s="50"/>
    </row>
    <row r="58" spans="1:15" s="46" customFormat="1" ht="17.399999999999999" thickBot="1" x14ac:dyDescent="0.45">
      <c r="A58" s="48" t="s">
        <v>143</v>
      </c>
      <c r="B58" s="47">
        <f t="shared" ref="B58:N58" si="11">SUM(B56:B57)</f>
        <v>60752.4</v>
      </c>
      <c r="C58" s="47">
        <f t="shared" si="11"/>
        <v>59680.3</v>
      </c>
      <c r="D58" s="47">
        <f t="shared" si="11"/>
        <v>69581.5</v>
      </c>
      <c r="E58" s="47">
        <f t="shared" si="11"/>
        <v>74701.2</v>
      </c>
      <c r="F58" s="47">
        <f t="shared" si="11"/>
        <v>97679.6</v>
      </c>
      <c r="G58" s="47">
        <f t="shared" si="11"/>
        <v>96132.800000000003</v>
      </c>
      <c r="H58" s="47">
        <f t="shared" si="11"/>
        <v>118716.5</v>
      </c>
      <c r="I58" s="47">
        <f t="shared" si="11"/>
        <v>118931.5</v>
      </c>
      <c r="J58" s="47">
        <f t="shared" si="11"/>
        <v>88054.9</v>
      </c>
      <c r="K58" s="47">
        <f t="shared" si="11"/>
        <v>72304.7</v>
      </c>
      <c r="L58" s="47">
        <f t="shared" si="11"/>
        <v>65213.8</v>
      </c>
      <c r="M58" s="47">
        <f t="shared" si="11"/>
        <v>64042</v>
      </c>
      <c r="N58" s="47">
        <f t="shared" si="11"/>
        <v>985791.2</v>
      </c>
      <c r="O58" s="48"/>
    </row>
    <row r="59" spans="1:15" ht="17.399999999999999" thickTop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/>
      <c r="B60" s="39">
        <f t="shared" ref="B60:M60" si="12">+B58-B52</f>
        <v>0</v>
      </c>
      <c r="C60" s="39">
        <f t="shared" si="12"/>
        <v>0</v>
      </c>
      <c r="D60" s="39">
        <f t="shared" si="12"/>
        <v>0</v>
      </c>
      <c r="E60" s="39">
        <f t="shared" si="12"/>
        <v>0</v>
      </c>
      <c r="F60" s="39">
        <f t="shared" si="12"/>
        <v>0</v>
      </c>
      <c r="G60" s="39">
        <f t="shared" si="12"/>
        <v>0</v>
      </c>
      <c r="H60" s="39">
        <f t="shared" si="12"/>
        <v>0</v>
      </c>
      <c r="I60" s="39">
        <f t="shared" si="12"/>
        <v>0</v>
      </c>
      <c r="J60" s="39">
        <f t="shared" si="12"/>
        <v>0</v>
      </c>
      <c r="K60" s="39">
        <f t="shared" si="12"/>
        <v>0</v>
      </c>
      <c r="L60" s="39">
        <f t="shared" si="12"/>
        <v>0</v>
      </c>
      <c r="M60" s="39">
        <f t="shared" si="12"/>
        <v>0</v>
      </c>
      <c r="N60" s="4"/>
      <c r="O60" s="4"/>
    </row>
    <row r="65" spans="1:14" ht="16.2" x14ac:dyDescent="0.25">
      <c r="A65" s="60" t="s">
        <v>204</v>
      </c>
      <c r="B65" s="61">
        <f t="shared" ref="B65:H65" si="13">+B4+B7+B8+B9+B5+B6</f>
        <v>23085</v>
      </c>
      <c r="C65" s="61">
        <f t="shared" si="13"/>
        <v>23266</v>
      </c>
      <c r="D65" s="61">
        <f t="shared" si="13"/>
        <v>22727</v>
      </c>
      <c r="E65" s="61">
        <f t="shared" si="13"/>
        <v>25071</v>
      </c>
      <c r="F65" s="61">
        <f t="shared" si="13"/>
        <v>35503</v>
      </c>
      <c r="G65" s="61">
        <f t="shared" si="13"/>
        <v>30007</v>
      </c>
      <c r="H65" s="61">
        <f t="shared" si="13"/>
        <v>28180</v>
      </c>
      <c r="I65" s="61">
        <f t="shared" ref="I65:N65" si="14">+I4+I7+I8+I9+I5+I6</f>
        <v>26594</v>
      </c>
      <c r="J65" s="61">
        <f t="shared" si="14"/>
        <v>26052</v>
      </c>
      <c r="K65" s="61">
        <f t="shared" si="14"/>
        <v>25100</v>
      </c>
      <c r="L65" s="61">
        <f t="shared" si="14"/>
        <v>22412</v>
      </c>
      <c r="M65" s="61">
        <f t="shared" si="14"/>
        <v>23941</v>
      </c>
      <c r="N65" s="61">
        <f t="shared" si="14"/>
        <v>311938</v>
      </c>
    </row>
    <row r="66" spans="1:14" ht="16.2" x14ac:dyDescent="0.25">
      <c r="A66" s="60" t="s">
        <v>205</v>
      </c>
      <c r="B66" s="61">
        <f t="shared" ref="B66:H66" si="15">+B15+B16+B23+B24</f>
        <v>19707</v>
      </c>
      <c r="C66" s="61">
        <f t="shared" si="15"/>
        <v>20830</v>
      </c>
      <c r="D66" s="61">
        <f t="shared" si="15"/>
        <v>25348</v>
      </c>
      <c r="E66" s="61">
        <f t="shared" si="15"/>
        <v>26157</v>
      </c>
      <c r="F66" s="61">
        <f t="shared" si="15"/>
        <v>32764</v>
      </c>
      <c r="G66" s="61">
        <f t="shared" si="15"/>
        <v>34358</v>
      </c>
      <c r="H66" s="61">
        <f t="shared" si="15"/>
        <v>45346</v>
      </c>
      <c r="I66" s="61">
        <f t="shared" ref="I66:N66" si="16">+I15+I16+I23+I24</f>
        <v>47188</v>
      </c>
      <c r="J66" s="61">
        <f t="shared" si="16"/>
        <v>31396</v>
      </c>
      <c r="K66" s="61">
        <f t="shared" si="16"/>
        <v>23626</v>
      </c>
      <c r="L66" s="61">
        <f t="shared" si="16"/>
        <v>23238</v>
      </c>
      <c r="M66" s="61">
        <f t="shared" si="16"/>
        <v>24030</v>
      </c>
      <c r="N66" s="61">
        <f t="shared" si="16"/>
        <v>353988</v>
      </c>
    </row>
    <row r="67" spans="1:14" ht="16.2" x14ac:dyDescent="0.25">
      <c r="A67" s="60" t="s">
        <v>206</v>
      </c>
      <c r="B67" s="61">
        <f t="shared" ref="B67:H67" si="17">+B19+B20+B27+B28</f>
        <v>50</v>
      </c>
      <c r="C67" s="61">
        <f t="shared" si="17"/>
        <v>34</v>
      </c>
      <c r="D67" s="61">
        <f t="shared" si="17"/>
        <v>72</v>
      </c>
      <c r="E67" s="61">
        <f t="shared" si="17"/>
        <v>155</v>
      </c>
      <c r="F67" s="61">
        <f t="shared" si="17"/>
        <v>220</v>
      </c>
      <c r="G67" s="61">
        <f t="shared" si="17"/>
        <v>477</v>
      </c>
      <c r="H67" s="61">
        <f t="shared" si="17"/>
        <v>592</v>
      </c>
      <c r="I67" s="61">
        <f t="shared" ref="I67:N67" si="18">+I19+I20+I27+I28</f>
        <v>556</v>
      </c>
      <c r="J67" s="61">
        <f t="shared" si="18"/>
        <v>450</v>
      </c>
      <c r="K67" s="61">
        <f t="shared" si="18"/>
        <v>162</v>
      </c>
      <c r="L67" s="61">
        <f t="shared" si="18"/>
        <v>50</v>
      </c>
      <c r="M67" s="61">
        <f t="shared" si="18"/>
        <v>45</v>
      </c>
      <c r="N67" s="61">
        <f t="shared" si="18"/>
        <v>2863</v>
      </c>
    </row>
    <row r="68" spans="1:14" ht="16.2" x14ac:dyDescent="0.25">
      <c r="A68" s="60" t="s">
        <v>207</v>
      </c>
      <c r="B68" s="61">
        <f t="shared" ref="B68:H68" si="19">+B33+B34+B35+B36+B37+B38+B39+B40+B41+B42+B43+B44+B45+B46+B47+B48+B49+B50+B18+B22</f>
        <v>6543</v>
      </c>
      <c r="C68" s="61">
        <f t="shared" si="19"/>
        <v>5760</v>
      </c>
      <c r="D68" s="61">
        <f t="shared" si="19"/>
        <v>8961</v>
      </c>
      <c r="E68" s="61">
        <f t="shared" si="19"/>
        <v>11092</v>
      </c>
      <c r="F68" s="61">
        <f t="shared" si="19"/>
        <v>9639</v>
      </c>
      <c r="G68" s="61">
        <f t="shared" si="19"/>
        <v>10217</v>
      </c>
      <c r="H68" s="61">
        <f t="shared" si="19"/>
        <v>13060</v>
      </c>
      <c r="I68" s="61">
        <f>+I33+I34+I35+I36+I37+I38+I39+I40+I41+I42+I43+I44+I45+I46+I47+I48+I49+I50+I18+I22</f>
        <v>14384</v>
      </c>
      <c r="J68" s="61">
        <f t="shared" ref="J68:M68" si="20">+J33+J34+J35+J36+J37+J38+J39+J40+J41+J42+J43+J44+J45+J46+J47+J48+J49+J50+J18+J22</f>
        <v>12268</v>
      </c>
      <c r="K68" s="61">
        <f t="shared" si="20"/>
        <v>10481</v>
      </c>
      <c r="L68" s="61">
        <f t="shared" si="20"/>
        <v>7306</v>
      </c>
      <c r="M68" s="61">
        <f t="shared" si="20"/>
        <v>4504</v>
      </c>
      <c r="N68" s="61">
        <f t="shared" ref="N68" si="21">+N33+N34+N35+N36+N37+N38+N39+N40+N41+N42+N43+N44+N45+N46+N47+N48+N49+N50</f>
        <v>111655</v>
      </c>
    </row>
    <row r="69" spans="1:14" ht="16.2" x14ac:dyDescent="0.25">
      <c r="A69" s="60" t="s">
        <v>208</v>
      </c>
      <c r="B69" s="61">
        <f t="shared" ref="B69:H69" si="22">+B12+B29</f>
        <v>5968</v>
      </c>
      <c r="C69" s="61">
        <f t="shared" si="22"/>
        <v>4410</v>
      </c>
      <c r="D69" s="61">
        <f t="shared" si="22"/>
        <v>5778</v>
      </c>
      <c r="E69" s="61">
        <f t="shared" si="22"/>
        <v>5483</v>
      </c>
      <c r="F69" s="61">
        <f t="shared" si="22"/>
        <v>9061</v>
      </c>
      <c r="G69" s="61">
        <f t="shared" si="22"/>
        <v>8243</v>
      </c>
      <c r="H69" s="61">
        <f t="shared" si="22"/>
        <v>8530</v>
      </c>
      <c r="I69" s="61">
        <f t="shared" ref="I69:N69" si="23">+I12+I29</f>
        <v>8456</v>
      </c>
      <c r="J69" s="61">
        <f t="shared" si="23"/>
        <v>6386</v>
      </c>
      <c r="K69" s="61">
        <f t="shared" si="23"/>
        <v>5918</v>
      </c>
      <c r="L69" s="61">
        <f t="shared" si="23"/>
        <v>5564</v>
      </c>
      <c r="M69" s="61">
        <f t="shared" si="23"/>
        <v>4718</v>
      </c>
      <c r="N69" s="61">
        <f t="shared" si="23"/>
        <v>78515</v>
      </c>
    </row>
    <row r="70" spans="1:14" ht="16.2" x14ac:dyDescent="0.25">
      <c r="A70" s="60" t="s">
        <v>209</v>
      </c>
      <c r="B70" s="61">
        <f t="shared" ref="B70:H70" si="24">+B13+B14+B25+B26</f>
        <v>4623</v>
      </c>
      <c r="C70" s="61">
        <f t="shared" si="24"/>
        <v>5063</v>
      </c>
      <c r="D70" s="61">
        <f t="shared" si="24"/>
        <v>6243</v>
      </c>
      <c r="E70" s="61">
        <f t="shared" si="24"/>
        <v>6309</v>
      </c>
      <c r="F70" s="61">
        <f t="shared" si="24"/>
        <v>9668.5</v>
      </c>
      <c r="G70" s="61">
        <f t="shared" si="24"/>
        <v>11652</v>
      </c>
      <c r="H70" s="61">
        <f t="shared" si="24"/>
        <v>19986.5</v>
      </c>
      <c r="I70" s="61">
        <f t="shared" ref="I70:N70" si="25">+I13+I14+I25+I26</f>
        <v>20336</v>
      </c>
      <c r="J70" s="61">
        <f t="shared" si="25"/>
        <v>10507</v>
      </c>
      <c r="K70" s="61">
        <f t="shared" si="25"/>
        <v>5632</v>
      </c>
      <c r="L70" s="61">
        <f t="shared" si="25"/>
        <v>6393.5</v>
      </c>
      <c r="M70" s="61">
        <f t="shared" si="25"/>
        <v>5947.5</v>
      </c>
      <c r="N70" s="61">
        <f t="shared" si="25"/>
        <v>112361</v>
      </c>
    </row>
    <row r="71" spans="1:14" ht="16.2" x14ac:dyDescent="0.25">
      <c r="A71" s="60" t="s">
        <v>210</v>
      </c>
      <c r="B71" s="61">
        <f t="shared" ref="B71:H71" si="26">+B10+B11+B30+B31</f>
        <v>110.5</v>
      </c>
      <c r="C71" s="61">
        <f t="shared" si="26"/>
        <v>207.5</v>
      </c>
      <c r="D71" s="61">
        <f t="shared" si="26"/>
        <v>330.5</v>
      </c>
      <c r="E71" s="61">
        <f t="shared" si="26"/>
        <v>330.5</v>
      </c>
      <c r="F71" s="61">
        <f t="shared" si="26"/>
        <v>696</v>
      </c>
      <c r="G71" s="61">
        <f t="shared" si="26"/>
        <v>1099.5</v>
      </c>
      <c r="H71" s="61">
        <f t="shared" si="26"/>
        <v>2022</v>
      </c>
      <c r="I71" s="61">
        <f t="shared" ref="I71:N71" si="27">+I10+I11+I30+I31</f>
        <v>1417.5</v>
      </c>
      <c r="J71" s="61">
        <f t="shared" si="27"/>
        <v>780</v>
      </c>
      <c r="K71" s="61">
        <f t="shared" si="27"/>
        <v>251.5</v>
      </c>
      <c r="L71" s="61">
        <f t="shared" si="27"/>
        <v>140.5</v>
      </c>
      <c r="M71" s="61">
        <f t="shared" si="27"/>
        <v>115</v>
      </c>
      <c r="N71" s="61">
        <f t="shared" si="27"/>
        <v>7501</v>
      </c>
    </row>
  </sheetData>
  <printOptions horizontalCentered="1" verticalCentered="1"/>
  <pageMargins left="0.4" right="0.4" top="0.7" bottom="0.7" header="0.5" footer="0.5"/>
  <pageSetup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0"/>
  <sheetViews>
    <sheetView zoomScale="75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H51" sqref="H51"/>
    </sheetView>
  </sheetViews>
  <sheetFormatPr defaultColWidth="8.33203125" defaultRowHeight="15" x14ac:dyDescent="0.25"/>
  <cols>
    <col min="1" max="1" width="29.08203125" bestFit="1" customWidth="1"/>
    <col min="2" max="13" width="8.33203125" customWidth="1"/>
    <col min="14" max="14" width="10.08203125" customWidth="1"/>
  </cols>
  <sheetData>
    <row r="1" spans="1:15" ht="18.600000000000001" x14ac:dyDescent="0.45">
      <c r="A1" s="3" t="s">
        <v>217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218</v>
      </c>
      <c r="B4" s="43"/>
      <c r="C4" s="43"/>
      <c r="D4" s="43"/>
      <c r="E4" s="43"/>
      <c r="F4" s="43">
        <v>200</v>
      </c>
      <c r="G4" s="43">
        <v>900</v>
      </c>
      <c r="H4" s="43">
        <v>600</v>
      </c>
      <c r="I4" s="43">
        <v>400</v>
      </c>
      <c r="J4" s="43">
        <v>100</v>
      </c>
      <c r="K4" s="43">
        <v>160</v>
      </c>
      <c r="L4" s="43">
        <v>240</v>
      </c>
      <c r="M4" s="43">
        <v>640</v>
      </c>
      <c r="N4" s="43">
        <f t="shared" ref="N4:N51" si="0">SUM(B4:M4)</f>
        <v>3240</v>
      </c>
      <c r="O4" s="44">
        <f t="shared" ref="O4:O51" si="1">N4/$N$51</f>
        <v>3.3902923373742688E-3</v>
      </c>
    </row>
    <row r="5" spans="1:15" s="54" customFormat="1" ht="16.8" x14ac:dyDescent="0.4">
      <c r="A5" s="42" t="s">
        <v>219</v>
      </c>
      <c r="B5" s="43"/>
      <c r="C5" s="43"/>
      <c r="D5" s="43"/>
      <c r="E5" s="43"/>
      <c r="F5" s="43">
        <v>900</v>
      </c>
      <c r="G5" s="43">
        <v>720</v>
      </c>
      <c r="H5" s="43">
        <v>630</v>
      </c>
      <c r="I5" s="43">
        <v>360</v>
      </c>
      <c r="J5" s="43"/>
      <c r="K5" s="43">
        <v>420</v>
      </c>
      <c r="L5" s="43">
        <v>490</v>
      </c>
      <c r="M5" s="43">
        <v>140</v>
      </c>
      <c r="N5" s="43">
        <f t="shared" si="0"/>
        <v>3660</v>
      </c>
      <c r="O5" s="44"/>
    </row>
    <row r="6" spans="1:15" s="54" customFormat="1" ht="16.8" x14ac:dyDescent="0.4">
      <c r="A6" s="42" t="s">
        <v>214</v>
      </c>
      <c r="B6" s="43">
        <v>12512</v>
      </c>
      <c r="C6" s="43">
        <v>11288</v>
      </c>
      <c r="D6" s="43">
        <v>14688</v>
      </c>
      <c r="E6" s="43">
        <v>15368</v>
      </c>
      <c r="F6" s="43">
        <v>19720</v>
      </c>
      <c r="G6" s="43">
        <v>15096</v>
      </c>
      <c r="H6" s="43">
        <v>13464</v>
      </c>
      <c r="I6" s="43">
        <v>15776</v>
      </c>
      <c r="J6" s="43">
        <v>11832</v>
      </c>
      <c r="K6" s="43">
        <v>5848</v>
      </c>
      <c r="L6" s="43">
        <v>14416</v>
      </c>
      <c r="M6" s="43">
        <v>11968</v>
      </c>
      <c r="N6" s="43">
        <f t="shared" si="0"/>
        <v>161976</v>
      </c>
      <c r="O6" s="44"/>
    </row>
    <row r="7" spans="1:15" s="54" customFormat="1" ht="16.8" x14ac:dyDescent="0.4">
      <c r="A7" s="42" t="s">
        <v>110</v>
      </c>
      <c r="B7" s="51">
        <v>0</v>
      </c>
      <c r="C7" s="51"/>
      <c r="D7" s="51"/>
      <c r="E7" s="51">
        <v>255</v>
      </c>
      <c r="F7" s="51">
        <v>255</v>
      </c>
      <c r="G7" s="51">
        <v>170</v>
      </c>
      <c r="H7" s="51">
        <v>340</v>
      </c>
      <c r="I7" s="51">
        <v>170</v>
      </c>
      <c r="J7" s="51"/>
      <c r="K7" s="51"/>
      <c r="L7" s="51"/>
      <c r="M7" s="51"/>
      <c r="N7" s="43">
        <f t="shared" si="0"/>
        <v>1190</v>
      </c>
      <c r="O7" s="44">
        <f t="shared" si="1"/>
        <v>1.2451999634183271E-3</v>
      </c>
    </row>
    <row r="8" spans="1:15" s="54" customFormat="1" ht="16.8" x14ac:dyDescent="0.4">
      <c r="A8" s="42" t="s">
        <v>215</v>
      </c>
      <c r="B8" s="51">
        <v>6902</v>
      </c>
      <c r="C8" s="51">
        <v>6069</v>
      </c>
      <c r="D8" s="51">
        <v>7735</v>
      </c>
      <c r="E8" s="51">
        <v>9163</v>
      </c>
      <c r="F8" s="51">
        <v>14280</v>
      </c>
      <c r="G8" s="51">
        <v>10353</v>
      </c>
      <c r="H8" s="51">
        <v>9758</v>
      </c>
      <c r="I8" s="51">
        <v>11781</v>
      </c>
      <c r="J8" s="51">
        <v>7973</v>
      </c>
      <c r="K8" s="51">
        <v>3094</v>
      </c>
      <c r="L8" s="51">
        <v>7854</v>
      </c>
      <c r="M8" s="51">
        <v>8449</v>
      </c>
      <c r="N8" s="43">
        <f t="shared" si="0"/>
        <v>103411</v>
      </c>
      <c r="O8" s="44">
        <f t="shared" si="1"/>
        <v>0.10820787682105262</v>
      </c>
    </row>
    <row r="9" spans="1:15" s="54" customFormat="1" ht="16.8" x14ac:dyDescent="0.4">
      <c r="A9" s="42" t="s">
        <v>216</v>
      </c>
      <c r="B9" s="51">
        <v>0</v>
      </c>
      <c r="C9" s="51"/>
      <c r="D9" s="51"/>
      <c r="E9" s="51"/>
      <c r="F9" s="51">
        <v>68</v>
      </c>
      <c r="G9" s="51">
        <v>68</v>
      </c>
      <c r="H9" s="51"/>
      <c r="I9" s="51"/>
      <c r="J9" s="51">
        <v>68</v>
      </c>
      <c r="K9" s="51"/>
      <c r="L9" s="51"/>
      <c r="M9" s="51"/>
      <c r="N9" s="43">
        <f t="shared" si="0"/>
        <v>204</v>
      </c>
      <c r="O9" s="44">
        <f t="shared" si="1"/>
        <v>2.1346285087171321E-4</v>
      </c>
    </row>
    <row r="10" spans="1:15" s="54" customFormat="1" ht="16.8" x14ac:dyDescent="0.4">
      <c r="A10" s="42" t="s">
        <v>156</v>
      </c>
      <c r="B10" s="52"/>
      <c r="C10" s="52"/>
      <c r="D10" s="52"/>
      <c r="E10" s="52"/>
      <c r="F10" s="52">
        <v>337.5</v>
      </c>
      <c r="G10" s="52">
        <v>621</v>
      </c>
      <c r="H10" s="52">
        <v>1300.5</v>
      </c>
      <c r="I10" s="52">
        <v>1552.5</v>
      </c>
      <c r="J10" s="52">
        <v>1494</v>
      </c>
      <c r="K10" s="52"/>
      <c r="L10" s="52"/>
      <c r="M10" s="52"/>
      <c r="N10" s="43">
        <f t="shared" si="0"/>
        <v>5305.5</v>
      </c>
      <c r="O10" s="44">
        <f t="shared" si="1"/>
        <v>5.5516037024503648E-3</v>
      </c>
    </row>
    <row r="11" spans="1:15" s="54" customFormat="1" ht="16.8" x14ac:dyDescent="0.4">
      <c r="A11" s="42" t="s">
        <v>184</v>
      </c>
      <c r="B11" s="52">
        <v>112</v>
      </c>
      <c r="C11" s="52">
        <v>245</v>
      </c>
      <c r="D11" s="52">
        <v>154</v>
      </c>
      <c r="E11" s="52">
        <v>462</v>
      </c>
      <c r="F11" s="52">
        <v>409.5</v>
      </c>
      <c r="G11" s="52"/>
      <c r="H11" s="52"/>
      <c r="I11" s="52"/>
      <c r="J11" s="52"/>
      <c r="K11" s="52">
        <v>371</v>
      </c>
      <c r="L11" s="52">
        <v>143.5</v>
      </c>
      <c r="M11" s="52">
        <v>105</v>
      </c>
      <c r="N11" s="52">
        <f t="shared" si="0"/>
        <v>2002</v>
      </c>
      <c r="O11" s="44">
        <f t="shared" si="1"/>
        <v>2.0948658208096559E-3</v>
      </c>
    </row>
    <row r="12" spans="1:15" s="54" customFormat="1" ht="16.8" x14ac:dyDescent="0.4">
      <c r="A12" s="42" t="s">
        <v>111</v>
      </c>
      <c r="B12" s="52">
        <v>4982</v>
      </c>
      <c r="C12" s="52">
        <v>3339</v>
      </c>
      <c r="D12" s="52">
        <v>3975</v>
      </c>
      <c r="E12" s="52">
        <v>5088</v>
      </c>
      <c r="F12" s="52">
        <v>5936</v>
      </c>
      <c r="G12" s="52">
        <v>5671</v>
      </c>
      <c r="H12" s="52">
        <v>5671</v>
      </c>
      <c r="I12" s="52">
        <v>6307</v>
      </c>
      <c r="J12" s="52">
        <v>5141</v>
      </c>
      <c r="K12" s="52">
        <v>6254</v>
      </c>
      <c r="L12" s="52">
        <v>4187</v>
      </c>
      <c r="M12" s="52">
        <v>3233</v>
      </c>
      <c r="N12" s="52">
        <f t="shared" si="0"/>
        <v>59784</v>
      </c>
      <c r="O12" s="44">
        <f t="shared" si="1"/>
        <v>6.2557171943698545E-2</v>
      </c>
    </row>
    <row r="13" spans="1:15" s="54" customFormat="1" ht="16.8" x14ac:dyDescent="0.4">
      <c r="A13" s="42" t="s">
        <v>157</v>
      </c>
      <c r="B13" s="52"/>
      <c r="C13" s="52"/>
      <c r="D13" s="52"/>
      <c r="E13" s="52"/>
      <c r="F13" s="52">
        <v>3804.5</v>
      </c>
      <c r="G13" s="52">
        <v>9688</v>
      </c>
      <c r="H13" s="52">
        <v>14742</v>
      </c>
      <c r="I13" s="52">
        <v>14287</v>
      </c>
      <c r="J13" s="52">
        <v>11319</v>
      </c>
      <c r="K13" s="52"/>
      <c r="L13" s="52"/>
      <c r="M13" s="52"/>
      <c r="N13" s="52">
        <f t="shared" si="0"/>
        <v>53840.5</v>
      </c>
      <c r="O13" s="44">
        <f t="shared" si="1"/>
        <v>5.6337973639012134E-2</v>
      </c>
    </row>
    <row r="14" spans="1:15" s="54" customFormat="1" ht="16.8" x14ac:dyDescent="0.4">
      <c r="A14" s="42" t="s">
        <v>180</v>
      </c>
      <c r="B14" s="52">
        <v>3612.5</v>
      </c>
      <c r="C14" s="52">
        <v>4222.5</v>
      </c>
      <c r="D14" s="52">
        <v>5110</v>
      </c>
      <c r="E14" s="52">
        <v>5922.5</v>
      </c>
      <c r="F14" s="52">
        <v>3807.5</v>
      </c>
      <c r="G14" s="52"/>
      <c r="H14" s="52"/>
      <c r="I14" s="52"/>
      <c r="J14" s="52"/>
      <c r="K14" s="52">
        <v>6427.5</v>
      </c>
      <c r="L14" s="52">
        <v>4962.5</v>
      </c>
      <c r="M14" s="52">
        <v>5035</v>
      </c>
      <c r="N14" s="52">
        <f t="shared" si="0"/>
        <v>39100</v>
      </c>
      <c r="O14" s="44">
        <f t="shared" si="1"/>
        <v>4.0913713083745029E-2</v>
      </c>
    </row>
    <row r="15" spans="1:15" s="54" customFormat="1" ht="16.8" x14ac:dyDescent="0.4">
      <c r="A15" s="42" t="s">
        <v>113</v>
      </c>
      <c r="B15" s="52"/>
      <c r="C15" s="52"/>
      <c r="D15" s="52"/>
      <c r="E15" s="52"/>
      <c r="F15" s="52">
        <v>11200</v>
      </c>
      <c r="G15" s="52">
        <v>28630</v>
      </c>
      <c r="H15" s="52">
        <v>38670</v>
      </c>
      <c r="I15" s="52">
        <v>37260</v>
      </c>
      <c r="J15" s="52">
        <v>32190</v>
      </c>
      <c r="K15" s="52"/>
      <c r="L15" s="52"/>
      <c r="M15" s="52"/>
      <c r="N15" s="52">
        <f t="shared" si="0"/>
        <v>147950</v>
      </c>
      <c r="O15" s="44">
        <f t="shared" si="1"/>
        <v>0.15481288620818612</v>
      </c>
    </row>
    <row r="16" spans="1:15" s="54" customFormat="1" ht="16.8" x14ac:dyDescent="0.4">
      <c r="A16" s="42" t="s">
        <v>179</v>
      </c>
      <c r="B16" s="52">
        <v>16928</v>
      </c>
      <c r="C16" s="52">
        <v>18808</v>
      </c>
      <c r="D16" s="52">
        <v>21336</v>
      </c>
      <c r="E16" s="52">
        <v>22624</v>
      </c>
      <c r="F16" s="52">
        <v>14736</v>
      </c>
      <c r="G16" s="52"/>
      <c r="H16" s="52"/>
      <c r="I16" s="52"/>
      <c r="J16" s="52"/>
      <c r="K16" s="52">
        <v>10312</v>
      </c>
      <c r="L16" s="52">
        <v>19408</v>
      </c>
      <c r="M16" s="52">
        <v>19440</v>
      </c>
      <c r="N16" s="52">
        <f t="shared" si="0"/>
        <v>143592</v>
      </c>
      <c r="O16" s="44">
        <f t="shared" si="1"/>
        <v>0.15025273373711295</v>
      </c>
    </row>
    <row r="17" spans="1:15" s="54" customFormat="1" ht="16.8" x14ac:dyDescent="0.4">
      <c r="A17" s="42" t="s">
        <v>114</v>
      </c>
      <c r="B17" s="52">
        <v>450</v>
      </c>
      <c r="C17" s="52"/>
      <c r="D17" s="52">
        <v>550</v>
      </c>
      <c r="E17" s="52">
        <v>650</v>
      </c>
      <c r="F17" s="52">
        <v>100</v>
      </c>
      <c r="G17" s="52">
        <v>27</v>
      </c>
      <c r="H17" s="52">
        <v>100</v>
      </c>
      <c r="I17" s="52">
        <v>104</v>
      </c>
      <c r="J17" s="52">
        <v>900</v>
      </c>
      <c r="K17" s="52"/>
      <c r="L17" s="52">
        <v>550</v>
      </c>
      <c r="M17" s="52"/>
      <c r="N17" s="52">
        <f t="shared" si="0"/>
        <v>3431</v>
      </c>
      <c r="O17" s="44">
        <f t="shared" si="1"/>
        <v>3.5901521634355295E-3</v>
      </c>
    </row>
    <row r="18" spans="1:15" s="54" customFormat="1" ht="16.8" x14ac:dyDescent="0.4">
      <c r="A18" s="42" t="s">
        <v>158</v>
      </c>
      <c r="B18" s="52"/>
      <c r="C18" s="52"/>
      <c r="D18" s="52"/>
      <c r="E18" s="52"/>
      <c r="F18" s="52">
        <v>84</v>
      </c>
      <c r="G18" s="52">
        <v>203</v>
      </c>
      <c r="H18" s="52">
        <v>497</v>
      </c>
      <c r="I18" s="52">
        <v>518</v>
      </c>
      <c r="J18" s="52">
        <v>546</v>
      </c>
      <c r="K18" s="52"/>
      <c r="L18" s="52"/>
      <c r="M18" s="52"/>
      <c r="N18" s="52">
        <f t="shared" si="0"/>
        <v>1848</v>
      </c>
      <c r="O18" s="44">
        <f t="shared" si="1"/>
        <v>1.9337222961319904E-3</v>
      </c>
    </row>
    <row r="19" spans="1:15" s="54" customFormat="1" ht="16.8" x14ac:dyDescent="0.4">
      <c r="A19" s="42" t="s">
        <v>185</v>
      </c>
      <c r="B19" s="52">
        <v>20</v>
      </c>
      <c r="C19" s="52">
        <v>90</v>
      </c>
      <c r="D19" s="52">
        <v>85</v>
      </c>
      <c r="E19" s="52">
        <v>185</v>
      </c>
      <c r="F19" s="52">
        <v>175</v>
      </c>
      <c r="G19" s="52"/>
      <c r="H19" s="52"/>
      <c r="I19" s="52"/>
      <c r="J19" s="52"/>
      <c r="K19" s="52">
        <v>70</v>
      </c>
      <c r="L19" s="52">
        <v>40</v>
      </c>
      <c r="M19" s="52">
        <v>15</v>
      </c>
      <c r="N19" s="52">
        <f t="shared" si="0"/>
        <v>680</v>
      </c>
      <c r="O19" s="44">
        <f t="shared" si="1"/>
        <v>7.1154283623904406E-4</v>
      </c>
    </row>
    <row r="20" spans="1:15" s="54" customFormat="1" ht="16.8" x14ac:dyDescent="0.4">
      <c r="A20" s="42" t="s">
        <v>10</v>
      </c>
      <c r="B20" s="52">
        <v>88</v>
      </c>
      <c r="C20" s="52">
        <v>104.5</v>
      </c>
      <c r="D20" s="52">
        <v>121</v>
      </c>
      <c r="E20" s="52">
        <v>88</v>
      </c>
      <c r="F20" s="52">
        <v>121</v>
      </c>
      <c r="G20" s="52">
        <v>88</v>
      </c>
      <c r="H20" s="52"/>
      <c r="I20" s="52"/>
      <c r="J20" s="52">
        <v>99</v>
      </c>
      <c r="K20" s="52">
        <v>121</v>
      </c>
      <c r="L20" s="52">
        <v>104.5</v>
      </c>
      <c r="M20" s="52">
        <v>71.5</v>
      </c>
      <c r="N20" s="52">
        <f>SUM(B20:M20)</f>
        <v>1006.5</v>
      </c>
      <c r="O20" s="44">
        <f t="shared" si="1"/>
        <v>1.0531880362861733E-3</v>
      </c>
    </row>
    <row r="21" spans="1:15" s="54" customFormat="1" ht="16.8" x14ac:dyDescent="0.4">
      <c r="A21" s="42" t="s">
        <v>11</v>
      </c>
      <c r="B21" s="52">
        <v>10</v>
      </c>
      <c r="C21" s="52">
        <v>35</v>
      </c>
      <c r="D21" s="52">
        <v>10</v>
      </c>
      <c r="E21" s="52">
        <v>45</v>
      </c>
      <c r="F21" s="52"/>
      <c r="G21" s="52">
        <v>20</v>
      </c>
      <c r="H21" s="52">
        <v>15</v>
      </c>
      <c r="I21" s="52">
        <v>20</v>
      </c>
      <c r="J21" s="52">
        <v>25</v>
      </c>
      <c r="K21" s="52">
        <v>5</v>
      </c>
      <c r="L21" s="52">
        <v>35</v>
      </c>
      <c r="M21" s="52">
        <v>15</v>
      </c>
      <c r="N21" s="52">
        <f t="shared" si="0"/>
        <v>235</v>
      </c>
      <c r="O21" s="44">
        <f t="shared" si="1"/>
        <v>2.4590083311202258E-4</v>
      </c>
    </row>
    <row r="22" spans="1:15" s="54" customFormat="1" ht="16.8" x14ac:dyDescent="0.4">
      <c r="A22" s="42" t="s">
        <v>159</v>
      </c>
      <c r="B22" s="52"/>
      <c r="C22" s="52"/>
      <c r="D22" s="52"/>
      <c r="E22" s="52"/>
      <c r="F22" s="52">
        <v>2178</v>
      </c>
      <c r="G22" s="52">
        <v>5805</v>
      </c>
      <c r="H22" s="52">
        <v>7794</v>
      </c>
      <c r="I22" s="52">
        <v>8064</v>
      </c>
      <c r="J22" s="52">
        <v>7146</v>
      </c>
      <c r="K22" s="52"/>
      <c r="L22" s="52"/>
      <c r="M22" s="52"/>
      <c r="N22" s="52">
        <f>SUM(B22:M22)</f>
        <v>30987</v>
      </c>
      <c r="O22" s="44">
        <f t="shared" si="1"/>
        <v>3.2424379215498907E-2</v>
      </c>
    </row>
    <row r="23" spans="1:15" s="54" customFormat="1" ht="16.8" x14ac:dyDescent="0.4">
      <c r="A23" s="42" t="s">
        <v>181</v>
      </c>
      <c r="B23" s="52">
        <v>3577</v>
      </c>
      <c r="C23" s="52">
        <v>3661</v>
      </c>
      <c r="D23" s="52">
        <v>4025</v>
      </c>
      <c r="E23" s="52">
        <v>4823</v>
      </c>
      <c r="F23" s="52">
        <v>3605</v>
      </c>
      <c r="G23" s="52"/>
      <c r="H23" s="52"/>
      <c r="I23" s="52"/>
      <c r="J23" s="52"/>
      <c r="K23" s="52">
        <v>2499</v>
      </c>
      <c r="L23" s="52">
        <v>4207</v>
      </c>
      <c r="M23" s="52">
        <v>4158</v>
      </c>
      <c r="N23" s="52">
        <f>SUM(B23:M23)</f>
        <v>30555</v>
      </c>
      <c r="O23" s="44">
        <f t="shared" si="1"/>
        <v>3.1972340237182338E-2</v>
      </c>
    </row>
    <row r="24" spans="1:15" s="54" customFormat="1" ht="16.8" x14ac:dyDescent="0.4">
      <c r="A24" s="42" t="s">
        <v>211</v>
      </c>
      <c r="B24" s="52"/>
      <c r="C24" s="52"/>
      <c r="D24" s="52"/>
      <c r="E24" s="52"/>
      <c r="F24" s="52">
        <v>1144</v>
      </c>
      <c r="G24" s="52">
        <v>3028</v>
      </c>
      <c r="H24" s="52">
        <v>5636</v>
      </c>
      <c r="I24" s="52">
        <v>5374</v>
      </c>
      <c r="J24" s="52">
        <v>3058</v>
      </c>
      <c r="K24" s="52"/>
      <c r="L24" s="52"/>
      <c r="M24" s="52"/>
      <c r="N24" s="52">
        <f>SUM(B24:M24)</f>
        <v>18240</v>
      </c>
      <c r="O24" s="44">
        <f t="shared" si="1"/>
        <v>1.9086090195588476E-2</v>
      </c>
    </row>
    <row r="25" spans="1:15" s="54" customFormat="1" ht="16.8" x14ac:dyDescent="0.4">
      <c r="A25" s="42" t="s">
        <v>212</v>
      </c>
      <c r="B25" s="52">
        <v>834</v>
      </c>
      <c r="C25" s="52">
        <v>1176</v>
      </c>
      <c r="D25" s="52">
        <v>1258.5</v>
      </c>
      <c r="E25" s="52">
        <v>1851</v>
      </c>
      <c r="F25" s="52">
        <v>1048.5</v>
      </c>
      <c r="G25" s="52"/>
      <c r="H25" s="52"/>
      <c r="I25" s="52"/>
      <c r="J25" s="52"/>
      <c r="K25" s="52">
        <v>1558.5</v>
      </c>
      <c r="L25" s="52">
        <v>1198.5</v>
      </c>
      <c r="M25" s="52">
        <v>1251</v>
      </c>
      <c r="N25" s="52">
        <f>SUM(B25:M25)</f>
        <v>10176</v>
      </c>
      <c r="O25" s="44">
        <f t="shared" si="1"/>
        <v>1.0648029267012518E-2</v>
      </c>
    </row>
    <row r="26" spans="1:15" s="54" customFormat="1" ht="16.8" x14ac:dyDescent="0.4">
      <c r="A26" s="42" t="s">
        <v>186</v>
      </c>
      <c r="B26" s="52"/>
      <c r="C26" s="52"/>
      <c r="D26" s="52"/>
      <c r="E26" s="52"/>
      <c r="F26" s="52"/>
      <c r="G26" s="52">
        <v>24</v>
      </c>
      <c r="H26" s="52">
        <v>36</v>
      </c>
      <c r="I26" s="52">
        <v>90</v>
      </c>
      <c r="J26" s="52">
        <v>102</v>
      </c>
      <c r="K26" s="52"/>
      <c r="L26" s="52"/>
      <c r="M26" s="52"/>
      <c r="N26" s="52">
        <f t="shared" si="0"/>
        <v>252</v>
      </c>
      <c r="O26" s="44">
        <f t="shared" si="1"/>
        <v>2.6368940401799869E-4</v>
      </c>
    </row>
    <row r="27" spans="1:15" s="54" customFormat="1" ht="16.8" x14ac:dyDescent="0.4">
      <c r="A27" s="42" t="s">
        <v>182</v>
      </c>
      <c r="B27" s="52"/>
      <c r="C27" s="52">
        <v>4</v>
      </c>
      <c r="D27" s="52">
        <v>4</v>
      </c>
      <c r="E27" s="52">
        <v>4</v>
      </c>
      <c r="F27" s="52">
        <v>12</v>
      </c>
      <c r="G27" s="52"/>
      <c r="H27" s="52"/>
      <c r="I27" s="52"/>
      <c r="J27" s="52"/>
      <c r="K27" s="52">
        <v>8</v>
      </c>
      <c r="L27" s="52"/>
      <c r="M27" s="52"/>
      <c r="N27" s="52">
        <f t="shared" si="0"/>
        <v>32</v>
      </c>
      <c r="O27" s="44">
        <f t="shared" si="1"/>
        <v>3.3484368764190306E-5</v>
      </c>
    </row>
    <row r="28" spans="1:15" s="54" customFormat="1" ht="16.8" x14ac:dyDescent="0.4">
      <c r="A28" s="42" t="s">
        <v>14</v>
      </c>
      <c r="B28" s="52">
        <v>1696</v>
      </c>
      <c r="C28" s="52">
        <v>1184</v>
      </c>
      <c r="D28" s="52">
        <v>1600</v>
      </c>
      <c r="E28" s="52">
        <v>2176</v>
      </c>
      <c r="F28" s="52">
        <v>2720</v>
      </c>
      <c r="G28" s="52">
        <v>2528</v>
      </c>
      <c r="H28" s="52">
        <v>2720</v>
      </c>
      <c r="I28" s="52">
        <v>2848</v>
      </c>
      <c r="J28" s="52">
        <v>2016</v>
      </c>
      <c r="K28" s="52">
        <v>2464</v>
      </c>
      <c r="L28" s="52">
        <v>1984</v>
      </c>
      <c r="M28" s="52">
        <v>1280</v>
      </c>
      <c r="N28" s="52">
        <f>SUM(B28:M28)</f>
        <v>25216</v>
      </c>
      <c r="O28" s="44">
        <f t="shared" si="1"/>
        <v>2.6385682586181961E-2</v>
      </c>
    </row>
    <row r="29" spans="1:15" s="54" customFormat="1" ht="16.8" x14ac:dyDescent="0.4">
      <c r="A29" s="42" t="s">
        <v>162</v>
      </c>
      <c r="B29" s="52"/>
      <c r="C29" s="52"/>
      <c r="D29" s="52"/>
      <c r="E29" s="52"/>
      <c r="F29" s="52">
        <v>102</v>
      </c>
      <c r="G29" s="52">
        <v>183</v>
      </c>
      <c r="H29" s="52">
        <v>390</v>
      </c>
      <c r="I29" s="52">
        <v>372</v>
      </c>
      <c r="J29" s="52">
        <v>261</v>
      </c>
      <c r="K29" s="52"/>
      <c r="L29" s="52"/>
      <c r="M29" s="52"/>
      <c r="N29" s="52">
        <f t="shared" si="0"/>
        <v>1308</v>
      </c>
      <c r="O29" s="44">
        <f t="shared" si="1"/>
        <v>1.3686735732362789E-3</v>
      </c>
    </row>
    <row r="30" spans="1:15" s="54" customFormat="1" ht="16.8" x14ac:dyDescent="0.4">
      <c r="A30" s="42" t="s">
        <v>183</v>
      </c>
      <c r="B30" s="52">
        <v>2.5</v>
      </c>
      <c r="C30" s="52">
        <v>17.5</v>
      </c>
      <c r="D30" s="52">
        <v>30</v>
      </c>
      <c r="E30" s="52">
        <v>50</v>
      </c>
      <c r="F30" s="52">
        <v>145</v>
      </c>
      <c r="G30" s="52"/>
      <c r="H30" s="52"/>
      <c r="I30" s="52"/>
      <c r="J30" s="52"/>
      <c r="K30" s="52">
        <v>72.5</v>
      </c>
      <c r="L30" s="52">
        <v>30</v>
      </c>
      <c r="M30" s="52"/>
      <c r="N30" s="52">
        <f t="shared" si="0"/>
        <v>347.5</v>
      </c>
      <c r="O30" s="44">
        <f t="shared" si="1"/>
        <v>3.6361931704862913E-4</v>
      </c>
    </row>
    <row r="31" spans="1:15" s="54" customFormat="1" ht="16.8" x14ac:dyDescent="0.4">
      <c r="A31" s="42" t="s">
        <v>196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>
        <f t="shared" si="0"/>
        <v>0</v>
      </c>
      <c r="O31" s="44">
        <f t="shared" si="1"/>
        <v>0</v>
      </c>
    </row>
    <row r="32" spans="1:15" s="54" customFormat="1" ht="16.8" x14ac:dyDescent="0.4">
      <c r="A32" s="42" t="s">
        <v>163</v>
      </c>
      <c r="B32" s="52"/>
      <c r="C32" s="52"/>
      <c r="D32" s="52"/>
      <c r="E32" s="52"/>
      <c r="F32" s="52">
        <v>1512</v>
      </c>
      <c r="G32" s="52">
        <v>3556</v>
      </c>
      <c r="H32" s="52">
        <v>3388</v>
      </c>
      <c r="I32" s="52">
        <v>4186</v>
      </c>
      <c r="J32" s="52">
        <v>3752</v>
      </c>
      <c r="K32" s="52"/>
      <c r="L32" s="52"/>
      <c r="M32" s="52"/>
      <c r="N32" s="52">
        <f t="shared" si="0"/>
        <v>16394</v>
      </c>
      <c r="O32" s="44">
        <f t="shared" si="1"/>
        <v>1.7154460672504247E-2</v>
      </c>
    </row>
    <row r="33" spans="1:15" s="54" customFormat="1" ht="16.8" x14ac:dyDescent="0.4">
      <c r="A33" s="42" t="s">
        <v>187</v>
      </c>
      <c r="B33" s="52">
        <v>1639</v>
      </c>
      <c r="C33" s="52">
        <v>2024</v>
      </c>
      <c r="D33" s="52">
        <v>2354</v>
      </c>
      <c r="E33" s="52">
        <v>2882</v>
      </c>
      <c r="F33" s="52">
        <v>1573</v>
      </c>
      <c r="G33" s="52"/>
      <c r="H33" s="52"/>
      <c r="I33" s="52"/>
      <c r="J33" s="52"/>
      <c r="K33" s="52">
        <v>1595</v>
      </c>
      <c r="L33" s="52">
        <v>2376</v>
      </c>
      <c r="M33" s="52">
        <v>2167</v>
      </c>
      <c r="N33" s="52">
        <f t="shared" si="0"/>
        <v>16610</v>
      </c>
      <c r="O33" s="44">
        <f t="shared" si="1"/>
        <v>1.7380480161662531E-2</v>
      </c>
    </row>
    <row r="34" spans="1:15" s="54" customFormat="1" ht="16.8" x14ac:dyDescent="0.4">
      <c r="A34" s="42" t="s">
        <v>164</v>
      </c>
      <c r="B34" s="52"/>
      <c r="C34" s="52"/>
      <c r="D34" s="52"/>
      <c r="E34" s="52"/>
      <c r="F34" s="52">
        <v>980</v>
      </c>
      <c r="G34" s="52">
        <v>1660</v>
      </c>
      <c r="H34" s="52">
        <v>1920</v>
      </c>
      <c r="I34" s="52">
        <v>2580</v>
      </c>
      <c r="J34" s="52">
        <v>2060</v>
      </c>
      <c r="K34" s="52"/>
      <c r="L34" s="52"/>
      <c r="M34" s="52"/>
      <c r="N34" s="52">
        <f t="shared" si="0"/>
        <v>9200</v>
      </c>
      <c r="O34" s="44">
        <f t="shared" si="1"/>
        <v>9.6267560197047138E-3</v>
      </c>
    </row>
    <row r="35" spans="1:15" s="54" customFormat="1" ht="16.8" x14ac:dyDescent="0.4">
      <c r="A35" s="42" t="s">
        <v>188</v>
      </c>
      <c r="B35" s="52">
        <v>608</v>
      </c>
      <c r="C35" s="52">
        <v>800</v>
      </c>
      <c r="D35" s="52">
        <v>1328</v>
      </c>
      <c r="E35" s="52">
        <v>1728</v>
      </c>
      <c r="F35" s="52">
        <v>1184</v>
      </c>
      <c r="G35" s="52"/>
      <c r="H35" s="52"/>
      <c r="I35" s="52"/>
      <c r="J35" s="52"/>
      <c r="K35" s="52">
        <v>1104</v>
      </c>
      <c r="L35" s="52">
        <v>1472</v>
      </c>
      <c r="M35" s="52">
        <v>976</v>
      </c>
      <c r="N35" s="52">
        <f t="shared" si="0"/>
        <v>9200</v>
      </c>
      <c r="O35" s="44">
        <f t="shared" si="1"/>
        <v>9.6267560197047138E-3</v>
      </c>
    </row>
    <row r="36" spans="1:15" s="54" customFormat="1" ht="16.8" x14ac:dyDescent="0.4">
      <c r="A36" s="42" t="s">
        <v>165</v>
      </c>
      <c r="B36" s="52"/>
      <c r="C36" s="52"/>
      <c r="D36" s="52"/>
      <c r="E36" s="52"/>
      <c r="F36" s="52">
        <v>520</v>
      </c>
      <c r="G36" s="52">
        <v>1456</v>
      </c>
      <c r="H36" s="52">
        <v>1690</v>
      </c>
      <c r="I36" s="52">
        <v>2210</v>
      </c>
      <c r="J36" s="52">
        <v>1898</v>
      </c>
      <c r="K36" s="52"/>
      <c r="L36" s="52"/>
      <c r="M36" s="52"/>
      <c r="N36" s="52">
        <f t="shared" si="0"/>
        <v>7774</v>
      </c>
      <c r="O36" s="44">
        <f t="shared" si="1"/>
        <v>8.134608836650483E-3</v>
      </c>
    </row>
    <row r="37" spans="1:15" s="54" customFormat="1" ht="16.8" x14ac:dyDescent="0.4">
      <c r="A37" s="42" t="s">
        <v>189</v>
      </c>
      <c r="B37" s="52">
        <v>714</v>
      </c>
      <c r="C37" s="52">
        <v>567</v>
      </c>
      <c r="D37" s="52">
        <v>903</v>
      </c>
      <c r="E37" s="52">
        <v>903</v>
      </c>
      <c r="F37" s="52">
        <v>924</v>
      </c>
      <c r="G37" s="52"/>
      <c r="H37" s="52"/>
      <c r="I37" s="52"/>
      <c r="J37" s="52"/>
      <c r="K37" s="52">
        <v>1008</v>
      </c>
      <c r="L37" s="52">
        <v>1638</v>
      </c>
      <c r="M37" s="52">
        <v>966</v>
      </c>
      <c r="N37" s="52">
        <f t="shared" si="0"/>
        <v>7623</v>
      </c>
      <c r="O37" s="44">
        <f t="shared" si="1"/>
        <v>7.9766044715444597E-3</v>
      </c>
    </row>
    <row r="38" spans="1:15" s="54" customFormat="1" ht="16.8" x14ac:dyDescent="0.4">
      <c r="A38" s="42" t="s">
        <v>166</v>
      </c>
      <c r="B38" s="52"/>
      <c r="C38" s="52"/>
      <c r="D38" s="52"/>
      <c r="E38" s="52"/>
      <c r="F38" s="52">
        <v>782</v>
      </c>
      <c r="G38" s="52">
        <v>1802</v>
      </c>
      <c r="H38" s="52">
        <v>2448</v>
      </c>
      <c r="I38" s="52">
        <v>1904</v>
      </c>
      <c r="J38" s="52">
        <v>2788</v>
      </c>
      <c r="K38" s="52"/>
      <c r="L38" s="52"/>
      <c r="M38" s="52"/>
      <c r="N38" s="52">
        <f t="shared" si="0"/>
        <v>9724</v>
      </c>
      <c r="O38" s="44">
        <f t="shared" si="1"/>
        <v>1.017506255821833E-2</v>
      </c>
    </row>
    <row r="39" spans="1:15" s="54" customFormat="1" ht="16.8" x14ac:dyDescent="0.4">
      <c r="A39" s="42" t="s">
        <v>190</v>
      </c>
      <c r="B39" s="52">
        <v>486</v>
      </c>
      <c r="C39" s="52">
        <v>567</v>
      </c>
      <c r="D39" s="52">
        <v>756</v>
      </c>
      <c r="E39" s="52">
        <v>1647</v>
      </c>
      <c r="F39" s="52">
        <v>729</v>
      </c>
      <c r="G39" s="52"/>
      <c r="H39" s="52"/>
      <c r="I39" s="52"/>
      <c r="J39" s="52"/>
      <c r="K39" s="52">
        <v>1080</v>
      </c>
      <c r="L39" s="52">
        <v>999</v>
      </c>
      <c r="M39" s="52">
        <v>324</v>
      </c>
      <c r="N39" s="52">
        <f t="shared" si="0"/>
        <v>6588</v>
      </c>
      <c r="O39" s="44">
        <f t="shared" si="1"/>
        <v>6.8935944193276796E-3</v>
      </c>
    </row>
    <row r="40" spans="1:15" s="54" customFormat="1" ht="16.8" x14ac:dyDescent="0.4">
      <c r="A40" s="42" t="s">
        <v>167</v>
      </c>
      <c r="B40" s="52"/>
      <c r="C40" s="52"/>
      <c r="D40" s="52"/>
      <c r="E40" s="52"/>
      <c r="F40" s="52">
        <v>430</v>
      </c>
      <c r="G40" s="52">
        <v>645</v>
      </c>
      <c r="H40" s="52">
        <v>1204</v>
      </c>
      <c r="I40" s="52">
        <v>1376</v>
      </c>
      <c r="J40" s="52">
        <v>1333</v>
      </c>
      <c r="K40" s="52"/>
      <c r="L40" s="52"/>
      <c r="M40" s="52"/>
      <c r="N40" s="52">
        <f t="shared" si="0"/>
        <v>4988</v>
      </c>
      <c r="O40" s="44">
        <f t="shared" si="1"/>
        <v>5.2193759811181642E-3</v>
      </c>
    </row>
    <row r="41" spans="1:15" s="54" customFormat="1" ht="16.8" x14ac:dyDescent="0.4">
      <c r="A41" s="42" t="s">
        <v>191</v>
      </c>
      <c r="B41" s="52">
        <v>136</v>
      </c>
      <c r="C41" s="52">
        <v>306</v>
      </c>
      <c r="D41" s="52">
        <v>748</v>
      </c>
      <c r="E41" s="52">
        <v>680</v>
      </c>
      <c r="F41" s="52">
        <v>646</v>
      </c>
      <c r="G41" s="52"/>
      <c r="H41" s="52"/>
      <c r="I41" s="52"/>
      <c r="J41" s="52"/>
      <c r="K41" s="52">
        <v>408</v>
      </c>
      <c r="L41" s="52">
        <v>612</v>
      </c>
      <c r="M41" s="52">
        <v>238</v>
      </c>
      <c r="N41" s="52">
        <f t="shared" si="0"/>
        <v>3774</v>
      </c>
      <c r="O41" s="44">
        <f t="shared" si="1"/>
        <v>3.9490627411266944E-3</v>
      </c>
    </row>
    <row r="42" spans="1:15" s="54" customFormat="1" ht="16.8" x14ac:dyDescent="0.4">
      <c r="A42" s="42" t="s">
        <v>168</v>
      </c>
      <c r="B42" s="52"/>
      <c r="C42" s="52"/>
      <c r="D42" s="52"/>
      <c r="E42" s="52"/>
      <c r="F42" s="52">
        <v>265</v>
      </c>
      <c r="G42" s="52">
        <v>265</v>
      </c>
      <c r="H42" s="52">
        <v>742</v>
      </c>
      <c r="I42" s="52">
        <v>689</v>
      </c>
      <c r="J42" s="52">
        <v>583</v>
      </c>
      <c r="K42" s="52"/>
      <c r="L42" s="52"/>
      <c r="M42" s="52"/>
      <c r="N42" s="52">
        <f t="shared" si="0"/>
        <v>2544</v>
      </c>
      <c r="O42" s="44">
        <f t="shared" si="1"/>
        <v>2.6620073167531295E-3</v>
      </c>
    </row>
    <row r="43" spans="1:15" s="54" customFormat="1" ht="16.8" x14ac:dyDescent="0.4">
      <c r="A43" s="42" t="s">
        <v>192</v>
      </c>
      <c r="B43" s="52">
        <v>42</v>
      </c>
      <c r="C43" s="52">
        <v>210</v>
      </c>
      <c r="D43" s="52">
        <v>84</v>
      </c>
      <c r="E43" s="52">
        <v>42</v>
      </c>
      <c r="F43" s="52">
        <v>126</v>
      </c>
      <c r="G43" s="52"/>
      <c r="H43" s="52"/>
      <c r="I43" s="52"/>
      <c r="J43" s="52"/>
      <c r="K43" s="52">
        <v>84</v>
      </c>
      <c r="L43" s="52">
        <v>336</v>
      </c>
      <c r="M43" s="52">
        <v>252</v>
      </c>
      <c r="N43" s="52">
        <f t="shared" si="0"/>
        <v>1176</v>
      </c>
      <c r="O43" s="44">
        <f t="shared" si="1"/>
        <v>1.2305505520839937E-3</v>
      </c>
    </row>
    <row r="44" spans="1:15" s="54" customFormat="1" ht="16.8" x14ac:dyDescent="0.4">
      <c r="A44" s="42" t="s">
        <v>169</v>
      </c>
      <c r="B44" s="52"/>
      <c r="C44" s="52"/>
      <c r="D44" s="52"/>
      <c r="E44" s="52"/>
      <c r="F44" s="52">
        <v>128</v>
      </c>
      <c r="G44" s="52">
        <v>256</v>
      </c>
      <c r="H44" s="52">
        <v>128</v>
      </c>
      <c r="I44" s="52">
        <v>256</v>
      </c>
      <c r="J44" s="52">
        <v>128</v>
      </c>
      <c r="K44" s="52"/>
      <c r="L44" s="52"/>
      <c r="M44" s="52"/>
      <c r="N44" s="52">
        <f t="shared" si="0"/>
        <v>896</v>
      </c>
      <c r="O44" s="44">
        <f t="shared" si="1"/>
        <v>9.3756232539732862E-4</v>
      </c>
    </row>
    <row r="45" spans="1:15" s="54" customFormat="1" ht="16.8" x14ac:dyDescent="0.4">
      <c r="A45" s="42" t="s">
        <v>193</v>
      </c>
      <c r="B45" s="52">
        <v>51</v>
      </c>
      <c r="C45" s="52">
        <v>204</v>
      </c>
      <c r="D45" s="52">
        <v>102</v>
      </c>
      <c r="E45" s="52">
        <v>102</v>
      </c>
      <c r="F45" s="52">
        <v>102</v>
      </c>
      <c r="G45" s="52"/>
      <c r="H45" s="52"/>
      <c r="I45" s="52"/>
      <c r="J45" s="52"/>
      <c r="K45" s="52"/>
      <c r="L45" s="52">
        <v>153</v>
      </c>
      <c r="M45" s="52"/>
      <c r="N45" s="52">
        <f t="shared" si="0"/>
        <v>714</v>
      </c>
      <c r="O45" s="44">
        <f t="shared" si="1"/>
        <v>7.4711997805099629E-4</v>
      </c>
    </row>
    <row r="46" spans="1:15" s="54" customFormat="1" ht="16.8" x14ac:dyDescent="0.4">
      <c r="A46" s="42" t="s">
        <v>170</v>
      </c>
      <c r="B46" s="52"/>
      <c r="C46" s="52"/>
      <c r="D46" s="52"/>
      <c r="E46" s="52"/>
      <c r="F46" s="52"/>
      <c r="G46" s="52">
        <v>225</v>
      </c>
      <c r="H46" s="52">
        <v>300</v>
      </c>
      <c r="I46" s="52">
        <v>225</v>
      </c>
      <c r="J46" s="52">
        <v>2475</v>
      </c>
      <c r="K46" s="52"/>
      <c r="L46" s="52"/>
      <c r="M46" s="52"/>
      <c r="N46" s="52">
        <f t="shared" si="0"/>
        <v>3225</v>
      </c>
      <c r="O46" s="44">
        <f t="shared" si="1"/>
        <v>3.3745965395160543E-3</v>
      </c>
    </row>
    <row r="47" spans="1:15" s="54" customFormat="1" ht="16.8" x14ac:dyDescent="0.4">
      <c r="A47" s="42" t="s">
        <v>194</v>
      </c>
      <c r="B47" s="52"/>
      <c r="C47" s="52">
        <v>240</v>
      </c>
      <c r="D47" s="52">
        <v>60</v>
      </c>
      <c r="E47" s="52"/>
      <c r="F47" s="52">
        <v>60</v>
      </c>
      <c r="G47" s="52"/>
      <c r="H47" s="52"/>
      <c r="I47" s="52"/>
      <c r="J47" s="52"/>
      <c r="K47" s="52">
        <v>420</v>
      </c>
      <c r="L47" s="52"/>
      <c r="M47" s="52">
        <v>960</v>
      </c>
      <c r="N47" s="52">
        <f t="shared" si="0"/>
        <v>1740</v>
      </c>
      <c r="O47" s="44">
        <f t="shared" si="1"/>
        <v>1.820712551552848E-3</v>
      </c>
    </row>
    <row r="48" spans="1:15" s="54" customFormat="1" ht="16.8" x14ac:dyDescent="0.4">
      <c r="A48" s="42" t="s">
        <v>171</v>
      </c>
      <c r="B48" s="52"/>
      <c r="C48" s="52"/>
      <c r="D48" s="52"/>
      <c r="E48" s="52"/>
      <c r="F48" s="52">
        <v>89</v>
      </c>
      <c r="G48" s="52">
        <v>356</v>
      </c>
      <c r="H48" s="52">
        <v>356</v>
      </c>
      <c r="I48" s="52">
        <v>445</v>
      </c>
      <c r="J48" s="52">
        <v>445</v>
      </c>
      <c r="K48" s="52"/>
      <c r="L48" s="52"/>
      <c r="M48" s="52"/>
      <c r="N48" s="52">
        <f t="shared" si="0"/>
        <v>1691</v>
      </c>
      <c r="O48" s="44">
        <f t="shared" si="1"/>
        <v>1.7694396118826815E-3</v>
      </c>
    </row>
    <row r="49" spans="1:15" s="54" customFormat="1" ht="16.8" x14ac:dyDescent="0.4">
      <c r="A49" s="42" t="s">
        <v>195</v>
      </c>
      <c r="B49" s="52">
        <v>142</v>
      </c>
      <c r="C49" s="52">
        <v>213</v>
      </c>
      <c r="D49" s="52">
        <v>142</v>
      </c>
      <c r="E49" s="52">
        <v>568</v>
      </c>
      <c r="F49" s="52">
        <v>142</v>
      </c>
      <c r="G49" s="52"/>
      <c r="H49" s="52"/>
      <c r="I49" s="52"/>
      <c r="J49" s="52"/>
      <c r="K49" s="52">
        <v>284</v>
      </c>
      <c r="L49" s="52">
        <v>355</v>
      </c>
      <c r="M49" s="52">
        <v>284</v>
      </c>
      <c r="N49" s="52">
        <f t="shared" si="0"/>
        <v>2130</v>
      </c>
      <c r="O49" s="44">
        <f t="shared" si="1"/>
        <v>2.2288032958664174E-3</v>
      </c>
    </row>
    <row r="50" spans="1:15" s="54" customFormat="1" ht="16.8" x14ac:dyDescent="0.4">
      <c r="A50" s="42" t="s">
        <v>198</v>
      </c>
      <c r="B50" s="52">
        <v>9.6</v>
      </c>
      <c r="C50" s="52">
        <v>11.4</v>
      </c>
      <c r="D50" s="52">
        <v>13.2</v>
      </c>
      <c r="E50" s="52">
        <v>9.6</v>
      </c>
      <c r="F50" s="52">
        <v>13.2</v>
      </c>
      <c r="G50" s="52">
        <v>9.6</v>
      </c>
      <c r="H50" s="52"/>
      <c r="I50" s="52"/>
      <c r="J50" s="52">
        <v>10.8</v>
      </c>
      <c r="K50" s="52">
        <v>13.2</v>
      </c>
      <c r="L50" s="52">
        <v>11.4</v>
      </c>
      <c r="M50" s="52">
        <v>7.8</v>
      </c>
      <c r="N50" s="52">
        <f t="shared" si="0"/>
        <v>109.8</v>
      </c>
      <c r="O50" s="44">
        <f t="shared" si="1"/>
        <v>1.1489324032212799E-4</v>
      </c>
    </row>
    <row r="51" spans="1:15" ht="16.8" x14ac:dyDescent="0.4">
      <c r="A51" s="5" t="s">
        <v>25</v>
      </c>
      <c r="B51" s="39">
        <f t="shared" ref="B51:M51" si="2">SUM(B4:B50)</f>
        <v>55553.599999999999</v>
      </c>
      <c r="C51" s="39">
        <f t="shared" si="2"/>
        <v>55385.9</v>
      </c>
      <c r="D51" s="39">
        <f t="shared" si="2"/>
        <v>67171.7</v>
      </c>
      <c r="E51" s="39">
        <f t="shared" si="2"/>
        <v>77316.100000000006</v>
      </c>
      <c r="F51" s="39">
        <f t="shared" si="2"/>
        <v>97293.7</v>
      </c>
      <c r="G51" s="39">
        <f t="shared" si="2"/>
        <v>94053.6</v>
      </c>
      <c r="H51" s="39">
        <f t="shared" si="2"/>
        <v>114539.5</v>
      </c>
      <c r="I51" s="39">
        <f t="shared" si="2"/>
        <v>119154.5</v>
      </c>
      <c r="J51" s="39">
        <f t="shared" si="2"/>
        <v>99742.8</v>
      </c>
      <c r="K51" s="39">
        <f t="shared" si="2"/>
        <v>45680.7</v>
      </c>
      <c r="L51" s="39">
        <f t="shared" si="2"/>
        <v>67802.399999999994</v>
      </c>
      <c r="M51" s="39">
        <f t="shared" si="2"/>
        <v>61975.3</v>
      </c>
      <c r="N51" s="9">
        <f t="shared" si="0"/>
        <v>955669.8</v>
      </c>
      <c r="O51" s="10">
        <f t="shared" si="1"/>
        <v>1</v>
      </c>
    </row>
    <row r="52" spans="1:15" ht="16.8" x14ac:dyDescent="0.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6.8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 t="s">
        <v>148</v>
      </c>
      <c r="B55" s="39">
        <f t="shared" ref="B55:D55" si="3">+B4+B7+B8+B9+B15+B16+B18+B19+B21+B22+B23+B26+B27+B32+B33+B34+B35+B36+B37+B38+B39+B40+B41+B42+B43+B44+B45+B46+B47+B48+B49+B5+B6</f>
        <v>43767</v>
      </c>
      <c r="C55" s="39">
        <f t="shared" si="3"/>
        <v>45086</v>
      </c>
      <c r="D55" s="39">
        <f t="shared" si="3"/>
        <v>54360</v>
      </c>
      <c r="E55" s="39">
        <f>+E4+E7+E8+E9+E15+E16+E18+E19+E21+E22+E23+E26+E27+E32+E33+E34+E35+E36+E37+E38+E39+E40+E41+E42+E43+E44+E45+E46+E47+E48+E49+E5+E6</f>
        <v>61019</v>
      </c>
      <c r="F55" s="39">
        <f t="shared" ref="F55:N55" si="4">+F4+F7+F8+F9+F15+F16+F18+F19+F21+F22+F23+F26+F27+F32+F33+F34+F35+F36+F37+F38+F39+F40+F41+F42+F43+F44+F45+F46+F47+F48+F49+F5+F6</f>
        <v>77605</v>
      </c>
      <c r="G55" s="39">
        <f t="shared" si="4"/>
        <v>72210</v>
      </c>
      <c r="H55" s="39">
        <f t="shared" si="4"/>
        <v>83980</v>
      </c>
      <c r="I55" s="39">
        <f t="shared" si="4"/>
        <v>88310</v>
      </c>
      <c r="J55" s="39">
        <f t="shared" si="4"/>
        <v>75444</v>
      </c>
      <c r="K55" s="39">
        <f t="shared" si="4"/>
        <v>28399</v>
      </c>
      <c r="L55" s="39">
        <f t="shared" si="4"/>
        <v>54631</v>
      </c>
      <c r="M55" s="39">
        <f t="shared" si="4"/>
        <v>50992</v>
      </c>
      <c r="N55" s="39">
        <f t="shared" si="4"/>
        <v>735803</v>
      </c>
      <c r="O55" s="4"/>
    </row>
    <row r="56" spans="1:15" s="56" customFormat="1" ht="16.8" x14ac:dyDescent="0.4">
      <c r="A56" s="55" t="s">
        <v>149</v>
      </c>
      <c r="B56" s="50">
        <f>+B10+B11+B12+B13+B14+B17+B20+B24+B25+B28+B29+B30+B50</f>
        <v>11786.6</v>
      </c>
      <c r="C56" s="50">
        <f t="shared" ref="C56:N56" si="5">+C10+C11+C12+C13+C14+C17+C20+C24+C25+C28+C29+C30+C50</f>
        <v>10299.9</v>
      </c>
      <c r="D56" s="50">
        <f t="shared" si="5"/>
        <v>12811.7</v>
      </c>
      <c r="E56" s="50">
        <f t="shared" si="5"/>
        <v>16297.1</v>
      </c>
      <c r="F56" s="50">
        <f t="shared" si="5"/>
        <v>19688.7</v>
      </c>
      <c r="G56" s="50">
        <f t="shared" si="5"/>
        <v>21843.599999999999</v>
      </c>
      <c r="H56" s="50">
        <f t="shared" si="5"/>
        <v>30559.5</v>
      </c>
      <c r="I56" s="50">
        <f t="shared" si="5"/>
        <v>30844.5</v>
      </c>
      <c r="J56" s="50">
        <f t="shared" si="5"/>
        <v>24298.799999999999</v>
      </c>
      <c r="K56" s="50">
        <f t="shared" si="5"/>
        <v>17281.7</v>
      </c>
      <c r="L56" s="50">
        <f t="shared" si="5"/>
        <v>13171.4</v>
      </c>
      <c r="M56" s="50">
        <f t="shared" si="5"/>
        <v>10983.3</v>
      </c>
      <c r="N56" s="50">
        <f t="shared" si="5"/>
        <v>219866.8</v>
      </c>
      <c r="O56" s="50"/>
    </row>
    <row r="57" spans="1:15" s="46" customFormat="1" ht="17.399999999999999" thickBot="1" x14ac:dyDescent="0.45">
      <c r="A57" s="48" t="s">
        <v>143</v>
      </c>
      <c r="B57" s="47">
        <f t="shared" ref="B57:N57" si="6">SUM(B55:B56)</f>
        <v>55553.599999999999</v>
      </c>
      <c r="C57" s="47">
        <f t="shared" si="6"/>
        <v>55385.9</v>
      </c>
      <c r="D57" s="47">
        <f t="shared" si="6"/>
        <v>67171.7</v>
      </c>
      <c r="E57" s="47">
        <f t="shared" si="6"/>
        <v>77316.100000000006</v>
      </c>
      <c r="F57" s="47">
        <f t="shared" si="6"/>
        <v>97293.7</v>
      </c>
      <c r="G57" s="47">
        <f t="shared" si="6"/>
        <v>94053.6</v>
      </c>
      <c r="H57" s="47">
        <f t="shared" si="6"/>
        <v>114539.5</v>
      </c>
      <c r="I57" s="47">
        <f t="shared" si="6"/>
        <v>119154.5</v>
      </c>
      <c r="J57" s="47">
        <f t="shared" si="6"/>
        <v>99742.8</v>
      </c>
      <c r="K57" s="47">
        <f t="shared" si="6"/>
        <v>45680.7</v>
      </c>
      <c r="L57" s="47">
        <f t="shared" si="6"/>
        <v>67802.399999999994</v>
      </c>
      <c r="M57" s="47">
        <f t="shared" si="6"/>
        <v>61975.3</v>
      </c>
      <c r="N57" s="47">
        <f t="shared" si="6"/>
        <v>955669.8</v>
      </c>
      <c r="O57" s="48"/>
    </row>
    <row r="58" spans="1:15" ht="17.399999999999999" thickTop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6.8" x14ac:dyDescent="0.4">
      <c r="A59" s="4"/>
      <c r="B59" s="39">
        <f t="shared" ref="B59:M59" si="7">+B57-B51</f>
        <v>0</v>
      </c>
      <c r="C59" s="39">
        <f t="shared" si="7"/>
        <v>0</v>
      </c>
      <c r="D59" s="39">
        <f t="shared" si="7"/>
        <v>0</v>
      </c>
      <c r="E59" s="39">
        <f t="shared" si="7"/>
        <v>0</v>
      </c>
      <c r="F59" s="39">
        <f t="shared" si="7"/>
        <v>0</v>
      </c>
      <c r="G59" s="39">
        <f t="shared" si="7"/>
        <v>0</v>
      </c>
      <c r="H59" s="39">
        <f t="shared" si="7"/>
        <v>0</v>
      </c>
      <c r="I59" s="39">
        <f t="shared" si="7"/>
        <v>0</v>
      </c>
      <c r="J59" s="39">
        <f t="shared" si="7"/>
        <v>0</v>
      </c>
      <c r="K59" s="39">
        <f t="shared" si="7"/>
        <v>0</v>
      </c>
      <c r="L59" s="39">
        <f t="shared" si="7"/>
        <v>0</v>
      </c>
      <c r="M59" s="39">
        <f t="shared" si="7"/>
        <v>0</v>
      </c>
      <c r="N59" s="4"/>
      <c r="O59" s="4"/>
    </row>
    <row r="64" spans="1:15" ht="16.2" x14ac:dyDescent="0.25">
      <c r="A64" s="60" t="s">
        <v>204</v>
      </c>
      <c r="B64" s="61">
        <f t="shared" ref="B64:D64" si="8">+B4+B7+B8+B9+B5+B6</f>
        <v>19414</v>
      </c>
      <c r="C64" s="61">
        <f t="shared" si="8"/>
        <v>17357</v>
      </c>
      <c r="D64" s="61">
        <f t="shared" si="8"/>
        <v>22423</v>
      </c>
      <c r="E64" s="61">
        <f>+E4+E7+E8+E9+E5+E6</f>
        <v>24786</v>
      </c>
      <c r="F64" s="61">
        <f t="shared" ref="F64:N64" si="9">+F4+F7+F8+F9+F5+F6</f>
        <v>35423</v>
      </c>
      <c r="G64" s="61">
        <f t="shared" si="9"/>
        <v>27307</v>
      </c>
      <c r="H64" s="61">
        <f t="shared" si="9"/>
        <v>24792</v>
      </c>
      <c r="I64" s="61">
        <f t="shared" si="9"/>
        <v>28487</v>
      </c>
      <c r="J64" s="61">
        <f t="shared" si="9"/>
        <v>19973</v>
      </c>
      <c r="K64" s="61">
        <f t="shared" si="9"/>
        <v>9522</v>
      </c>
      <c r="L64" s="61">
        <f t="shared" si="9"/>
        <v>23000</v>
      </c>
      <c r="M64" s="61">
        <f t="shared" si="9"/>
        <v>21197</v>
      </c>
      <c r="N64" s="61">
        <f t="shared" si="9"/>
        <v>273681</v>
      </c>
    </row>
    <row r="65" spans="1:14" ht="16.2" x14ac:dyDescent="0.25">
      <c r="A65" s="60" t="s">
        <v>205</v>
      </c>
      <c r="B65" s="61">
        <f>+B15+B16+B22+B23</f>
        <v>20505</v>
      </c>
      <c r="C65" s="61">
        <f t="shared" ref="C65:N65" si="10">+C15+C16+C22+C23</f>
        <v>22469</v>
      </c>
      <c r="D65" s="61">
        <f t="shared" si="10"/>
        <v>25361</v>
      </c>
      <c r="E65" s="61">
        <f t="shared" si="10"/>
        <v>27447</v>
      </c>
      <c r="F65" s="61">
        <f t="shared" si="10"/>
        <v>31719</v>
      </c>
      <c r="G65" s="61">
        <f t="shared" si="10"/>
        <v>34435</v>
      </c>
      <c r="H65" s="61">
        <f t="shared" si="10"/>
        <v>46464</v>
      </c>
      <c r="I65" s="61">
        <f t="shared" si="10"/>
        <v>45324</v>
      </c>
      <c r="J65" s="61">
        <f t="shared" si="10"/>
        <v>39336</v>
      </c>
      <c r="K65" s="61">
        <f t="shared" si="10"/>
        <v>12811</v>
      </c>
      <c r="L65" s="61">
        <f t="shared" si="10"/>
        <v>23615</v>
      </c>
      <c r="M65" s="61">
        <f t="shared" si="10"/>
        <v>23598</v>
      </c>
      <c r="N65" s="61">
        <f t="shared" si="10"/>
        <v>353084</v>
      </c>
    </row>
    <row r="66" spans="1:14" ht="16.2" x14ac:dyDescent="0.25">
      <c r="A66" s="60" t="s">
        <v>206</v>
      </c>
      <c r="B66" s="61">
        <f>+B18+B19+B26+B27</f>
        <v>20</v>
      </c>
      <c r="C66" s="61">
        <f t="shared" ref="C66:N66" si="11">+C18+C19+C26+C27</f>
        <v>94</v>
      </c>
      <c r="D66" s="61">
        <f t="shared" si="11"/>
        <v>89</v>
      </c>
      <c r="E66" s="61">
        <f t="shared" si="11"/>
        <v>189</v>
      </c>
      <c r="F66" s="61">
        <f t="shared" si="11"/>
        <v>271</v>
      </c>
      <c r="G66" s="61">
        <f t="shared" si="11"/>
        <v>227</v>
      </c>
      <c r="H66" s="61">
        <f t="shared" si="11"/>
        <v>533</v>
      </c>
      <c r="I66" s="61">
        <f t="shared" si="11"/>
        <v>608</v>
      </c>
      <c r="J66" s="61">
        <f t="shared" si="11"/>
        <v>648</v>
      </c>
      <c r="K66" s="61">
        <f t="shared" si="11"/>
        <v>78</v>
      </c>
      <c r="L66" s="61">
        <f t="shared" si="11"/>
        <v>40</v>
      </c>
      <c r="M66" s="61">
        <f t="shared" si="11"/>
        <v>15</v>
      </c>
      <c r="N66" s="61">
        <f t="shared" si="11"/>
        <v>2812</v>
      </c>
    </row>
    <row r="67" spans="1:14" ht="16.2" x14ac:dyDescent="0.25">
      <c r="A67" s="60" t="s">
        <v>207</v>
      </c>
      <c r="B67" s="61">
        <f>+B32+B33+B34+B35+B36+B37+B38+B39+B40+B41+B42+B43+B44+B45+B46+B47+B48+B49</f>
        <v>3818</v>
      </c>
      <c r="C67" s="61">
        <f t="shared" ref="C67:N67" si="12">+C32+C33+C34+C35+C36+C37+C38+C39+C40+C41+C42+C43+C44+C45+C46+C47+C48+C49</f>
        <v>5131</v>
      </c>
      <c r="D67" s="61">
        <f t="shared" si="12"/>
        <v>6477</v>
      </c>
      <c r="E67" s="61">
        <f t="shared" si="12"/>
        <v>8552</v>
      </c>
      <c r="F67" s="61">
        <f t="shared" si="12"/>
        <v>10192</v>
      </c>
      <c r="G67" s="61">
        <f t="shared" si="12"/>
        <v>10221</v>
      </c>
      <c r="H67" s="61">
        <f t="shared" si="12"/>
        <v>12176</v>
      </c>
      <c r="I67" s="61">
        <f t="shared" si="12"/>
        <v>13871</v>
      </c>
      <c r="J67" s="61">
        <f t="shared" si="12"/>
        <v>15462</v>
      </c>
      <c r="K67" s="61">
        <f t="shared" si="12"/>
        <v>5983</v>
      </c>
      <c r="L67" s="61">
        <f t="shared" si="12"/>
        <v>7941</v>
      </c>
      <c r="M67" s="61">
        <f t="shared" si="12"/>
        <v>6167</v>
      </c>
      <c r="N67" s="61">
        <f t="shared" si="12"/>
        <v>105991</v>
      </c>
    </row>
    <row r="68" spans="1:14" ht="16.2" x14ac:dyDescent="0.25">
      <c r="A68" s="60" t="s">
        <v>208</v>
      </c>
      <c r="B68" s="61">
        <f>+B12+B28</f>
        <v>6678</v>
      </c>
      <c r="C68" s="61">
        <f t="shared" ref="C68:N68" si="13">+C12+C28</f>
        <v>4523</v>
      </c>
      <c r="D68" s="61">
        <f t="shared" si="13"/>
        <v>5575</v>
      </c>
      <c r="E68" s="61">
        <f t="shared" si="13"/>
        <v>7264</v>
      </c>
      <c r="F68" s="61">
        <f t="shared" si="13"/>
        <v>8656</v>
      </c>
      <c r="G68" s="61">
        <f t="shared" si="13"/>
        <v>8199</v>
      </c>
      <c r="H68" s="61">
        <f t="shared" si="13"/>
        <v>8391</v>
      </c>
      <c r="I68" s="61">
        <f t="shared" si="13"/>
        <v>9155</v>
      </c>
      <c r="J68" s="61">
        <f t="shared" si="13"/>
        <v>7157</v>
      </c>
      <c r="K68" s="61">
        <f t="shared" si="13"/>
        <v>8718</v>
      </c>
      <c r="L68" s="61">
        <f t="shared" si="13"/>
        <v>6171</v>
      </c>
      <c r="M68" s="61">
        <f t="shared" si="13"/>
        <v>4513</v>
      </c>
      <c r="N68" s="61">
        <f t="shared" si="13"/>
        <v>85000</v>
      </c>
    </row>
    <row r="69" spans="1:14" ht="16.2" x14ac:dyDescent="0.25">
      <c r="A69" s="60" t="s">
        <v>209</v>
      </c>
      <c r="B69" s="61">
        <f>+B13+B14+B24+B25</f>
        <v>4446.5</v>
      </c>
      <c r="C69" s="61">
        <f t="shared" ref="C69:N69" si="14">+C13+C14+C24+C25</f>
        <v>5398.5</v>
      </c>
      <c r="D69" s="61">
        <f t="shared" si="14"/>
        <v>6368.5</v>
      </c>
      <c r="E69" s="61">
        <f t="shared" si="14"/>
        <v>7773.5</v>
      </c>
      <c r="F69" s="61">
        <f t="shared" si="14"/>
        <v>9804.5</v>
      </c>
      <c r="G69" s="61">
        <f t="shared" si="14"/>
        <v>12716</v>
      </c>
      <c r="H69" s="61">
        <f t="shared" si="14"/>
        <v>20378</v>
      </c>
      <c r="I69" s="61">
        <f t="shared" si="14"/>
        <v>19661</v>
      </c>
      <c r="J69" s="61">
        <f t="shared" si="14"/>
        <v>14377</v>
      </c>
      <c r="K69" s="61">
        <f t="shared" si="14"/>
        <v>7986</v>
      </c>
      <c r="L69" s="61">
        <f t="shared" si="14"/>
        <v>6161</v>
      </c>
      <c r="M69" s="61">
        <f t="shared" si="14"/>
        <v>6286</v>
      </c>
      <c r="N69" s="61">
        <f t="shared" si="14"/>
        <v>121356.5</v>
      </c>
    </row>
    <row r="70" spans="1:14" ht="16.2" x14ac:dyDescent="0.25">
      <c r="A70" s="60" t="s">
        <v>210</v>
      </c>
      <c r="B70" s="61">
        <f>+B10+B11+B29+B30</f>
        <v>114.5</v>
      </c>
      <c r="C70" s="61">
        <f t="shared" ref="C70:N70" si="15">+C10+C11+C29+C30</f>
        <v>262.5</v>
      </c>
      <c r="D70" s="61">
        <f t="shared" si="15"/>
        <v>184</v>
      </c>
      <c r="E70" s="61">
        <f t="shared" si="15"/>
        <v>512</v>
      </c>
      <c r="F70" s="61">
        <f t="shared" si="15"/>
        <v>994</v>
      </c>
      <c r="G70" s="61">
        <f t="shared" si="15"/>
        <v>804</v>
      </c>
      <c r="H70" s="61">
        <f t="shared" si="15"/>
        <v>1690.5</v>
      </c>
      <c r="I70" s="61">
        <f t="shared" si="15"/>
        <v>1924.5</v>
      </c>
      <c r="J70" s="61">
        <f t="shared" si="15"/>
        <v>1755</v>
      </c>
      <c r="K70" s="61">
        <f t="shared" si="15"/>
        <v>443.5</v>
      </c>
      <c r="L70" s="61">
        <f t="shared" si="15"/>
        <v>173.5</v>
      </c>
      <c r="M70" s="61">
        <f t="shared" si="15"/>
        <v>105</v>
      </c>
      <c r="N70" s="61">
        <f t="shared" si="15"/>
        <v>8963</v>
      </c>
    </row>
  </sheetData>
  <printOptions horizontalCentered="1" verticalCentered="1"/>
  <pageMargins left="0.4" right="0.4" top="0.7" bottom="0.7" header="0.5" footer="0.5"/>
  <pageSetup scale="5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5"/>
  <sheetViews>
    <sheetView zoomScale="75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H56" sqref="H56:M56"/>
    </sheetView>
  </sheetViews>
  <sheetFormatPr defaultColWidth="8.33203125" defaultRowHeight="15" x14ac:dyDescent="0.25"/>
  <cols>
    <col min="1" max="1" width="29.08203125" bestFit="1" customWidth="1"/>
    <col min="2" max="13" width="8.33203125" customWidth="1"/>
    <col min="14" max="14" width="10.08203125" customWidth="1"/>
  </cols>
  <sheetData>
    <row r="1" spans="1:15" ht="18.600000000000001" x14ac:dyDescent="0.45">
      <c r="A1" s="3" t="s">
        <v>213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177</v>
      </c>
      <c r="B4" s="43">
        <v>14805</v>
      </c>
      <c r="C4" s="43">
        <v>11466</v>
      </c>
      <c r="D4" s="43">
        <v>17262</v>
      </c>
      <c r="E4" s="43"/>
      <c r="F4" s="43">
        <v>21294</v>
      </c>
      <c r="G4" s="43"/>
      <c r="H4" s="43"/>
      <c r="I4" s="43"/>
      <c r="J4" s="43"/>
      <c r="K4" s="43"/>
      <c r="L4" s="43"/>
      <c r="M4" s="43"/>
      <c r="N4" s="43">
        <f t="shared" ref="N4:N56" si="0">SUM(B4:M4)</f>
        <v>64827</v>
      </c>
      <c r="O4" s="44">
        <f t="shared" ref="O4:O56" si="1">N4/$N$56</f>
        <v>8.1862877690973598E-2</v>
      </c>
    </row>
    <row r="5" spans="1:15" s="54" customFormat="1" ht="16.8" x14ac:dyDescent="0.4">
      <c r="A5" s="42" t="s">
        <v>214</v>
      </c>
      <c r="B5" s="43"/>
      <c r="C5" s="43"/>
      <c r="D5" s="43"/>
      <c r="E5" s="43"/>
      <c r="F5" s="43"/>
      <c r="G5" s="43">
        <v>12784</v>
      </c>
      <c r="H5" s="43">
        <v>11016</v>
      </c>
      <c r="I5" s="43">
        <v>11016</v>
      </c>
      <c r="J5" s="43">
        <v>11560</v>
      </c>
      <c r="K5" s="43">
        <v>13736</v>
      </c>
      <c r="L5" s="43">
        <v>11016</v>
      </c>
      <c r="M5" s="43">
        <v>11968</v>
      </c>
      <c r="N5" s="43">
        <f t="shared" si="0"/>
        <v>83096</v>
      </c>
      <c r="O5" s="44">
        <f t="shared" si="1"/>
        <v>0.10493278548458423</v>
      </c>
    </row>
    <row r="6" spans="1:15" s="54" customFormat="1" ht="16.8" x14ac:dyDescent="0.4">
      <c r="A6" s="42" t="s">
        <v>108</v>
      </c>
      <c r="B6" s="51">
        <v>36</v>
      </c>
      <c r="C6" s="51">
        <v>36</v>
      </c>
      <c r="D6" s="51">
        <v>72</v>
      </c>
      <c r="E6" s="51"/>
      <c r="F6" s="51">
        <v>252</v>
      </c>
      <c r="G6" s="51"/>
      <c r="H6" s="51"/>
      <c r="I6" s="51"/>
      <c r="J6" s="51"/>
      <c r="K6" s="51"/>
      <c r="L6" s="51"/>
      <c r="M6" s="51"/>
      <c r="N6" s="43">
        <f t="shared" si="0"/>
        <v>396</v>
      </c>
      <c r="O6" s="44">
        <f t="shared" si="1"/>
        <v>5.0006478111937224E-4</v>
      </c>
    </row>
    <row r="7" spans="1:15" s="54" customFormat="1" ht="16.8" x14ac:dyDescent="0.4">
      <c r="A7" s="42" t="s">
        <v>110</v>
      </c>
      <c r="B7" s="51"/>
      <c r="C7" s="51"/>
      <c r="D7" s="51"/>
      <c r="E7" s="51"/>
      <c r="F7" s="51"/>
      <c r="G7" s="51">
        <v>170</v>
      </c>
      <c r="H7" s="51"/>
      <c r="I7" s="51">
        <v>170</v>
      </c>
      <c r="J7" s="51">
        <v>170</v>
      </c>
      <c r="K7" s="51">
        <v>0</v>
      </c>
      <c r="L7" s="51"/>
      <c r="M7" s="51"/>
      <c r="N7" s="43">
        <f t="shared" si="0"/>
        <v>510</v>
      </c>
      <c r="O7" s="44">
        <f t="shared" si="1"/>
        <v>6.4402282416888858E-4</v>
      </c>
    </row>
    <row r="8" spans="1:15" s="54" customFormat="1" ht="16.8" x14ac:dyDescent="0.4">
      <c r="A8" s="42" t="s">
        <v>154</v>
      </c>
      <c r="B8" s="51">
        <v>10260</v>
      </c>
      <c r="C8" s="51">
        <v>6912</v>
      </c>
      <c r="D8" s="51">
        <v>13284</v>
      </c>
      <c r="E8" s="51"/>
      <c r="F8" s="51">
        <v>12420</v>
      </c>
      <c r="G8" s="51"/>
      <c r="H8" s="51"/>
      <c r="I8" s="51"/>
      <c r="J8" s="51"/>
      <c r="K8" s="51"/>
      <c r="L8" s="51"/>
      <c r="M8" s="51"/>
      <c r="N8" s="43">
        <f t="shared" si="0"/>
        <v>42876</v>
      </c>
      <c r="O8" s="44">
        <f t="shared" si="1"/>
        <v>5.4143377664833854E-2</v>
      </c>
    </row>
    <row r="9" spans="1:15" s="54" customFormat="1" ht="16.8" x14ac:dyDescent="0.4">
      <c r="A9" s="42" t="s">
        <v>215</v>
      </c>
      <c r="B9" s="51"/>
      <c r="C9" s="51"/>
      <c r="D9" s="51"/>
      <c r="E9" s="51"/>
      <c r="F9" s="51"/>
      <c r="G9" s="51">
        <f>7378+238</f>
        <v>7616</v>
      </c>
      <c r="H9" s="51">
        <v>7854</v>
      </c>
      <c r="I9" s="51">
        <v>7259</v>
      </c>
      <c r="J9" s="51">
        <v>7497</v>
      </c>
      <c r="K9" s="51">
        <v>6545</v>
      </c>
      <c r="L9" s="51">
        <v>7259</v>
      </c>
      <c r="M9" s="51">
        <v>7854</v>
      </c>
      <c r="N9" s="43">
        <f t="shared" si="0"/>
        <v>51884</v>
      </c>
      <c r="O9" s="44">
        <f t="shared" si="1"/>
        <v>6.5518588645448253E-2</v>
      </c>
    </row>
    <row r="10" spans="1:15" s="54" customFormat="1" ht="16.8" x14ac:dyDescent="0.4">
      <c r="A10" s="42" t="s">
        <v>197</v>
      </c>
      <c r="B10" s="51">
        <v>27</v>
      </c>
      <c r="C10" s="51">
        <v>0</v>
      </c>
      <c r="D10" s="51"/>
      <c r="E10" s="51"/>
      <c r="F10" s="51">
        <v>135</v>
      </c>
      <c r="G10" s="51"/>
      <c r="H10" s="51"/>
      <c r="I10" s="51"/>
      <c r="J10" s="51"/>
      <c r="K10" s="51"/>
      <c r="L10" s="51"/>
      <c r="M10" s="51"/>
      <c r="N10" s="43">
        <f t="shared" si="0"/>
        <v>162</v>
      </c>
      <c r="O10" s="44">
        <f t="shared" si="1"/>
        <v>2.0457195591247048E-4</v>
      </c>
    </row>
    <row r="11" spans="1:15" s="54" customFormat="1" ht="16.8" x14ac:dyDescent="0.4">
      <c r="A11" s="42" t="s">
        <v>216</v>
      </c>
      <c r="B11" s="51"/>
      <c r="C11" s="51"/>
      <c r="D11" s="51"/>
      <c r="E11" s="51"/>
      <c r="F11" s="51"/>
      <c r="G11" s="51"/>
      <c r="H11" s="51">
        <v>68</v>
      </c>
      <c r="I11" s="51">
        <v>68</v>
      </c>
      <c r="J11" s="51"/>
      <c r="K11" s="51"/>
      <c r="L11" s="51"/>
      <c r="M11" s="51"/>
      <c r="N11" s="43">
        <f t="shared" si="0"/>
        <v>136</v>
      </c>
      <c r="O11" s="44">
        <f t="shared" si="1"/>
        <v>1.7173941977837028E-4</v>
      </c>
    </row>
    <row r="12" spans="1:15" s="54" customFormat="1" ht="16.8" x14ac:dyDescent="0.4">
      <c r="A12" s="42" t="s">
        <v>178</v>
      </c>
      <c r="B12" s="52">
        <v>111</v>
      </c>
      <c r="C12" s="52">
        <v>111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43">
        <f t="shared" si="0"/>
        <v>222</v>
      </c>
      <c r="O12" s="44">
        <f t="shared" si="1"/>
        <v>2.8033934699116323E-4</v>
      </c>
    </row>
    <row r="13" spans="1:15" s="54" customFormat="1" ht="16.8" x14ac:dyDescent="0.4">
      <c r="A13" s="42" t="s">
        <v>176</v>
      </c>
      <c r="B13" s="52">
        <v>1290</v>
      </c>
      <c r="C13" s="52">
        <v>1032</v>
      </c>
      <c r="D13" s="52">
        <v>645</v>
      </c>
      <c r="E13" s="52"/>
      <c r="F13" s="52"/>
      <c r="G13" s="52"/>
      <c r="H13" s="52"/>
      <c r="I13" s="52"/>
      <c r="J13" s="52"/>
      <c r="K13" s="52"/>
      <c r="L13" s="52"/>
      <c r="M13" s="52"/>
      <c r="N13" s="43">
        <f t="shared" si="0"/>
        <v>2967</v>
      </c>
      <c r="O13" s="44">
        <f t="shared" si="1"/>
        <v>3.7466974888413574E-3</v>
      </c>
    </row>
    <row r="14" spans="1:15" s="54" customFormat="1" ht="16.8" x14ac:dyDescent="0.4">
      <c r="A14" s="42" t="s">
        <v>175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43">
        <f t="shared" si="0"/>
        <v>0</v>
      </c>
      <c r="O14" s="44">
        <f t="shared" si="1"/>
        <v>0</v>
      </c>
    </row>
    <row r="15" spans="1:15" s="54" customFormat="1" ht="16.8" x14ac:dyDescent="0.4">
      <c r="A15" s="42" t="s">
        <v>156</v>
      </c>
      <c r="B15" s="52"/>
      <c r="C15" s="52"/>
      <c r="D15" s="52"/>
      <c r="E15" s="52"/>
      <c r="F15" s="52">
        <v>248</v>
      </c>
      <c r="G15" s="52">
        <v>909</v>
      </c>
      <c r="H15" s="52">
        <v>1399.5</v>
      </c>
      <c r="I15" s="52">
        <v>1561.5</v>
      </c>
      <c r="J15" s="52">
        <v>652.5</v>
      </c>
      <c r="K15" s="52"/>
      <c r="L15" s="52"/>
      <c r="M15" s="52"/>
      <c r="N15" s="43">
        <f t="shared" si="0"/>
        <v>4770.5</v>
      </c>
      <c r="O15" s="44">
        <f t="shared" si="1"/>
        <v>6.0241389856817307E-3</v>
      </c>
    </row>
    <row r="16" spans="1:15" s="54" customFormat="1" ht="16.8" x14ac:dyDescent="0.4">
      <c r="A16" s="42" t="s">
        <v>184</v>
      </c>
      <c r="B16" s="52">
        <v>129</v>
      </c>
      <c r="C16" s="52">
        <v>126</v>
      </c>
      <c r="D16" s="52">
        <v>162</v>
      </c>
      <c r="E16" s="52"/>
      <c r="F16" s="52"/>
      <c r="G16" s="52"/>
      <c r="H16" s="52"/>
      <c r="I16" s="52"/>
      <c r="J16" s="52">
        <v>378</v>
      </c>
      <c r="K16" s="52">
        <v>245</v>
      </c>
      <c r="L16" s="52">
        <v>143.5</v>
      </c>
      <c r="M16" s="52">
        <v>161</v>
      </c>
      <c r="N16" s="52">
        <f t="shared" si="0"/>
        <v>1344.5</v>
      </c>
      <c r="O16" s="44">
        <f t="shared" si="1"/>
        <v>1.6978209550883737E-3</v>
      </c>
    </row>
    <row r="17" spans="1:15" s="54" customFormat="1" ht="16.8" x14ac:dyDescent="0.4">
      <c r="A17" s="42" t="s">
        <v>111</v>
      </c>
      <c r="B17" s="52">
        <v>5355</v>
      </c>
      <c r="C17" s="52">
        <v>3960</v>
      </c>
      <c r="D17" s="52">
        <v>6300</v>
      </c>
      <c r="E17" s="52"/>
      <c r="F17" s="52">
        <v>8910</v>
      </c>
      <c r="G17" s="52">
        <v>3551</v>
      </c>
      <c r="H17" s="52">
        <v>3339</v>
      </c>
      <c r="I17" s="52">
        <v>3604</v>
      </c>
      <c r="J17" s="52">
        <v>3392</v>
      </c>
      <c r="K17" s="52">
        <v>3869</v>
      </c>
      <c r="L17" s="52">
        <v>3657</v>
      </c>
      <c r="M17" s="52">
        <v>3339</v>
      </c>
      <c r="N17" s="52">
        <f t="shared" si="0"/>
        <v>49276</v>
      </c>
      <c r="O17" s="44">
        <f t="shared" si="1"/>
        <v>6.2225232713227746E-2</v>
      </c>
    </row>
    <row r="18" spans="1:15" s="54" customFormat="1" ht="16.8" x14ac:dyDescent="0.4">
      <c r="A18" s="42" t="s">
        <v>157</v>
      </c>
      <c r="B18" s="52"/>
      <c r="C18" s="52"/>
      <c r="D18" s="52"/>
      <c r="E18" s="52"/>
      <c r="F18" s="52">
        <v>3405</v>
      </c>
      <c r="G18" s="52">
        <v>8872.5</v>
      </c>
      <c r="H18" s="52">
        <v>16488.5</v>
      </c>
      <c r="I18" s="52">
        <v>13429.5</v>
      </c>
      <c r="J18" s="52">
        <v>4053</v>
      </c>
      <c r="K18" s="52"/>
      <c r="L18" s="52"/>
      <c r="M18" s="52"/>
      <c r="N18" s="52">
        <f t="shared" si="0"/>
        <v>46248.5</v>
      </c>
      <c r="O18" s="44">
        <f t="shared" si="1"/>
        <v>5.8402136438382039E-2</v>
      </c>
    </row>
    <row r="19" spans="1:15" s="54" customFormat="1" ht="16.8" x14ac:dyDescent="0.4">
      <c r="A19" s="42" t="s">
        <v>180</v>
      </c>
      <c r="B19" s="52">
        <v>3810</v>
      </c>
      <c r="C19" s="52">
        <v>3746</v>
      </c>
      <c r="D19" s="52">
        <v>4654</v>
      </c>
      <c r="E19" s="52"/>
      <c r="F19" s="52"/>
      <c r="G19" s="52"/>
      <c r="H19" s="52"/>
      <c r="I19" s="52"/>
      <c r="J19" s="52">
        <v>4657.5</v>
      </c>
      <c r="K19" s="52">
        <v>5500</v>
      </c>
      <c r="L19" s="52">
        <v>4682.5</v>
      </c>
      <c r="M19" s="52">
        <v>5167.5</v>
      </c>
      <c r="N19" s="52">
        <f t="shared" si="0"/>
        <v>32217.5</v>
      </c>
      <c r="O19" s="44">
        <f t="shared" si="1"/>
        <v>4.0683932034629736E-2</v>
      </c>
    </row>
    <row r="20" spans="1:15" s="54" customFormat="1" ht="16.8" x14ac:dyDescent="0.4">
      <c r="A20" s="42" t="s">
        <v>113</v>
      </c>
      <c r="B20" s="52"/>
      <c r="C20" s="52"/>
      <c r="D20" s="52"/>
      <c r="E20" s="52"/>
      <c r="F20" s="52">
        <v>8631</v>
      </c>
      <c r="G20" s="52">
        <v>22820</v>
      </c>
      <c r="H20" s="52">
        <v>34330</v>
      </c>
      <c r="I20" s="52">
        <v>32530</v>
      </c>
      <c r="J20" s="52">
        <v>10550</v>
      </c>
      <c r="K20" s="52"/>
      <c r="L20" s="52"/>
      <c r="M20" s="52"/>
      <c r="N20" s="52">
        <f t="shared" si="0"/>
        <v>108861</v>
      </c>
      <c r="O20" s="44">
        <f t="shared" si="1"/>
        <v>0.13746856600362622</v>
      </c>
    </row>
    <row r="21" spans="1:15" s="54" customFormat="1" ht="16.8" x14ac:dyDescent="0.4">
      <c r="A21" s="42" t="s">
        <v>179</v>
      </c>
      <c r="B21" s="52">
        <v>16548</v>
      </c>
      <c r="C21" s="52">
        <v>16429</v>
      </c>
      <c r="D21" s="52">
        <v>18529</v>
      </c>
      <c r="E21" s="52"/>
      <c r="F21" s="52"/>
      <c r="G21" s="52"/>
      <c r="H21" s="52"/>
      <c r="I21" s="52"/>
      <c r="J21" s="52">
        <v>13960</v>
      </c>
      <c r="K21" s="52">
        <v>19416</v>
      </c>
      <c r="L21" s="52">
        <v>18960</v>
      </c>
      <c r="M21" s="52">
        <v>20928</v>
      </c>
      <c r="N21" s="52">
        <f t="shared" si="0"/>
        <v>124770</v>
      </c>
      <c r="O21" s="44">
        <f t="shared" si="1"/>
        <v>0.15755828974814162</v>
      </c>
    </row>
    <row r="22" spans="1:15" s="54" customFormat="1" ht="16.8" x14ac:dyDescent="0.4">
      <c r="A22" s="42" t="s">
        <v>114</v>
      </c>
      <c r="B22" s="52"/>
      <c r="C22" s="52"/>
      <c r="D22" s="52">
        <v>100</v>
      </c>
      <c r="E22" s="52"/>
      <c r="F22" s="52">
        <v>100</v>
      </c>
      <c r="G22" s="52">
        <v>950</v>
      </c>
      <c r="H22" s="52">
        <v>550</v>
      </c>
      <c r="I22" s="52">
        <v>200</v>
      </c>
      <c r="J22" s="52"/>
      <c r="K22" s="52">
        <v>100</v>
      </c>
      <c r="L22" s="52">
        <v>100</v>
      </c>
      <c r="M22" s="52">
        <v>330</v>
      </c>
      <c r="N22" s="52">
        <f t="shared" si="0"/>
        <v>2430</v>
      </c>
      <c r="O22" s="44">
        <f t="shared" si="1"/>
        <v>3.0685793386870572E-3</v>
      </c>
    </row>
    <row r="23" spans="1:15" s="54" customFormat="1" ht="16.8" x14ac:dyDescent="0.4">
      <c r="A23" s="42" t="s">
        <v>158</v>
      </c>
      <c r="B23" s="52"/>
      <c r="C23" s="52"/>
      <c r="D23" s="52"/>
      <c r="E23" s="52"/>
      <c r="F23" s="52">
        <v>90</v>
      </c>
      <c r="G23" s="52">
        <v>287</v>
      </c>
      <c r="H23" s="52">
        <v>511</v>
      </c>
      <c r="I23" s="52">
        <v>406</v>
      </c>
      <c r="J23" s="52">
        <v>112</v>
      </c>
      <c r="K23" s="52"/>
      <c r="L23" s="52"/>
      <c r="M23" s="52"/>
      <c r="N23" s="52">
        <f t="shared" si="0"/>
        <v>1406</v>
      </c>
      <c r="O23" s="44">
        <f t="shared" si="1"/>
        <v>1.7754825309440338E-3</v>
      </c>
    </row>
    <row r="24" spans="1:15" s="54" customFormat="1" ht="16.8" x14ac:dyDescent="0.4">
      <c r="A24" s="42" t="s">
        <v>185</v>
      </c>
      <c r="B24" s="52">
        <v>20</v>
      </c>
      <c r="C24" s="52">
        <v>24</v>
      </c>
      <c r="D24" s="52">
        <v>40</v>
      </c>
      <c r="E24" s="52"/>
      <c r="F24" s="52"/>
      <c r="G24" s="52"/>
      <c r="H24" s="52"/>
      <c r="I24" s="52"/>
      <c r="J24" s="52">
        <v>280</v>
      </c>
      <c r="K24" s="52">
        <v>85</v>
      </c>
      <c r="L24" s="52">
        <v>20</v>
      </c>
      <c r="M24" s="52">
        <v>20</v>
      </c>
      <c r="N24" s="52">
        <f t="shared" si="0"/>
        <v>489</v>
      </c>
      <c r="O24" s="44">
        <f t="shared" si="1"/>
        <v>6.1750423729134603E-4</v>
      </c>
    </row>
    <row r="25" spans="1:15" s="54" customFormat="1" ht="16.8" x14ac:dyDescent="0.4">
      <c r="A25" s="42" t="s">
        <v>10</v>
      </c>
      <c r="B25" s="52">
        <v>110</v>
      </c>
      <c r="C25" s="52">
        <v>93.5</v>
      </c>
      <c r="D25" s="52">
        <v>126.5</v>
      </c>
      <c r="E25" s="52"/>
      <c r="F25" s="52">
        <v>33</v>
      </c>
      <c r="G25" s="52">
        <v>77</v>
      </c>
      <c r="H25" s="52"/>
      <c r="I25" s="52"/>
      <c r="J25" s="52">
        <v>99</v>
      </c>
      <c r="K25" s="52">
        <v>110</v>
      </c>
      <c r="L25" s="52">
        <v>104.5</v>
      </c>
      <c r="M25" s="52">
        <v>66</v>
      </c>
      <c r="N25" s="52">
        <f>SUM(B25:M25)</f>
        <v>819.5</v>
      </c>
      <c r="O25" s="44">
        <f t="shared" si="1"/>
        <v>1.034856283149812E-3</v>
      </c>
    </row>
    <row r="26" spans="1:15" s="54" customFormat="1" ht="16.8" x14ac:dyDescent="0.4">
      <c r="A26" s="42" t="s">
        <v>11</v>
      </c>
      <c r="B26" s="52"/>
      <c r="C26" s="52">
        <v>8</v>
      </c>
      <c r="D26" s="52">
        <v>8</v>
      </c>
      <c r="E26" s="52"/>
      <c r="F26" s="52"/>
      <c r="G26" s="52"/>
      <c r="H26" s="52"/>
      <c r="I26" s="52"/>
      <c r="J26" s="52">
        <v>30</v>
      </c>
      <c r="K26" s="52">
        <v>85</v>
      </c>
      <c r="L26" s="52">
        <v>55</v>
      </c>
      <c r="M26" s="52"/>
      <c r="N26" s="52">
        <f t="shared" si="0"/>
        <v>186</v>
      </c>
      <c r="O26" s="44">
        <f t="shared" si="1"/>
        <v>2.3487891234394759E-4</v>
      </c>
    </row>
    <row r="27" spans="1:15" s="54" customFormat="1" ht="16.8" x14ac:dyDescent="0.4">
      <c r="A27" s="42" t="s">
        <v>159</v>
      </c>
      <c r="B27" s="52"/>
      <c r="C27" s="52"/>
      <c r="D27" s="52"/>
      <c r="E27" s="52"/>
      <c r="F27" s="52">
        <v>1470</v>
      </c>
      <c r="G27" s="52">
        <v>3825</v>
      </c>
      <c r="H27" s="52">
        <v>5445</v>
      </c>
      <c r="I27" s="52">
        <v>5364</v>
      </c>
      <c r="J27" s="52">
        <v>1692</v>
      </c>
      <c r="K27" s="52"/>
      <c r="L27" s="52"/>
      <c r="M27" s="52"/>
      <c r="N27" s="52">
        <f>SUM(B27:M27)</f>
        <v>17796</v>
      </c>
      <c r="O27" s="44">
        <f t="shared" si="1"/>
        <v>2.2472608193940275E-2</v>
      </c>
    </row>
    <row r="28" spans="1:15" s="54" customFormat="1" ht="16.8" x14ac:dyDescent="0.4">
      <c r="A28" s="42" t="s">
        <v>181</v>
      </c>
      <c r="B28" s="52">
        <v>2826</v>
      </c>
      <c r="C28" s="52">
        <v>2682</v>
      </c>
      <c r="D28" s="52">
        <v>2910</v>
      </c>
      <c r="E28" s="52"/>
      <c r="F28" s="52"/>
      <c r="G28" s="52"/>
      <c r="H28" s="52"/>
      <c r="I28" s="52"/>
      <c r="J28" s="52">
        <v>2681</v>
      </c>
      <c r="K28" s="52">
        <v>3780</v>
      </c>
      <c r="L28" s="52">
        <v>3885</v>
      </c>
      <c r="M28" s="52">
        <v>3423</v>
      </c>
      <c r="N28" s="52">
        <f>SUM(B28:M28)</f>
        <v>22187</v>
      </c>
      <c r="O28" s="44">
        <f t="shared" si="1"/>
        <v>2.8017518431049274E-2</v>
      </c>
    </row>
    <row r="29" spans="1:15" s="54" customFormat="1" ht="16.8" x14ac:dyDescent="0.4">
      <c r="A29" s="42" t="s">
        <v>211</v>
      </c>
      <c r="B29" s="52"/>
      <c r="C29" s="52"/>
      <c r="D29" s="52"/>
      <c r="E29" s="52"/>
      <c r="F29" s="52">
        <v>813</v>
      </c>
      <c r="G29" s="52">
        <v>2808</v>
      </c>
      <c r="H29" s="52">
        <v>5730</v>
      </c>
      <c r="I29" s="52">
        <v>5142</v>
      </c>
      <c r="J29" s="52">
        <v>1462</v>
      </c>
      <c r="K29" s="52"/>
      <c r="L29" s="52"/>
      <c r="M29" s="52"/>
      <c r="N29" s="52">
        <f>SUM(B29:M29)</f>
        <v>15955</v>
      </c>
      <c r="O29" s="44">
        <f t="shared" si="1"/>
        <v>2.0147812077675718E-2</v>
      </c>
    </row>
    <row r="30" spans="1:15" s="54" customFormat="1" ht="16.8" x14ac:dyDescent="0.4">
      <c r="A30" s="42" t="s">
        <v>212</v>
      </c>
      <c r="B30" s="52">
        <v>842</v>
      </c>
      <c r="C30" s="52">
        <v>865</v>
      </c>
      <c r="D30" s="52">
        <v>1063</v>
      </c>
      <c r="E30" s="52"/>
      <c r="F30" s="52"/>
      <c r="G30" s="52"/>
      <c r="H30" s="52"/>
      <c r="I30" s="52"/>
      <c r="J30" s="52">
        <v>1197</v>
      </c>
      <c r="K30" s="52">
        <v>1344</v>
      </c>
      <c r="L30" s="52">
        <v>1306.5</v>
      </c>
      <c r="M30" s="52">
        <v>1257</v>
      </c>
      <c r="N30" s="52">
        <f>SUM(B30:M30)</f>
        <v>7874.5</v>
      </c>
      <c r="O30" s="44">
        <f t="shared" si="1"/>
        <v>9.9438386841527691E-3</v>
      </c>
    </row>
    <row r="31" spans="1:15" s="54" customFormat="1" ht="16.8" x14ac:dyDescent="0.4">
      <c r="A31" s="42" t="s">
        <v>186</v>
      </c>
      <c r="B31" s="52"/>
      <c r="C31" s="52"/>
      <c r="D31" s="52"/>
      <c r="E31" s="52"/>
      <c r="F31" s="52">
        <v>13.5</v>
      </c>
      <c r="G31" s="52">
        <v>18</v>
      </c>
      <c r="H31" s="52">
        <v>30</v>
      </c>
      <c r="I31" s="52">
        <v>6</v>
      </c>
      <c r="J31" s="52">
        <v>24</v>
      </c>
      <c r="K31" s="52"/>
      <c r="L31" s="52"/>
      <c r="M31" s="52"/>
      <c r="N31" s="52">
        <f t="shared" si="0"/>
        <v>91.5</v>
      </c>
      <c r="O31" s="44">
        <f t="shared" si="1"/>
        <v>1.1554527139500648E-4</v>
      </c>
    </row>
    <row r="32" spans="1:15" s="54" customFormat="1" ht="16.8" x14ac:dyDescent="0.4">
      <c r="A32" s="42" t="s">
        <v>182</v>
      </c>
      <c r="B32" s="52"/>
      <c r="C32" s="52"/>
      <c r="D32" s="52">
        <v>9</v>
      </c>
      <c r="E32" s="52"/>
      <c r="F32" s="52"/>
      <c r="G32" s="52"/>
      <c r="H32" s="52"/>
      <c r="I32" s="52"/>
      <c r="J32" s="52">
        <v>32</v>
      </c>
      <c r="K32" s="52"/>
      <c r="L32" s="52"/>
      <c r="M32" s="52"/>
      <c r="N32" s="52">
        <f t="shared" si="0"/>
        <v>41</v>
      </c>
      <c r="O32" s="44">
        <f t="shared" si="1"/>
        <v>5.1774383903773391E-5</v>
      </c>
    </row>
    <row r="33" spans="1:15" s="54" customFormat="1" ht="16.8" x14ac:dyDescent="0.4">
      <c r="A33" s="42" t="s">
        <v>14</v>
      </c>
      <c r="B33" s="52">
        <v>1840</v>
      </c>
      <c r="C33" s="52">
        <v>1656</v>
      </c>
      <c r="D33" s="52">
        <v>1794</v>
      </c>
      <c r="E33" s="52"/>
      <c r="F33" s="52">
        <v>3220</v>
      </c>
      <c r="G33" s="52">
        <f>1088+32</f>
        <v>1120</v>
      </c>
      <c r="H33" s="52">
        <v>1536</v>
      </c>
      <c r="I33" s="52">
        <v>1344</v>
      </c>
      <c r="J33" s="52">
        <v>1504</v>
      </c>
      <c r="K33" s="52">
        <v>1248</v>
      </c>
      <c r="L33" s="52">
        <v>1280</v>
      </c>
      <c r="M33" s="52">
        <v>1248</v>
      </c>
      <c r="N33" s="52">
        <f>SUM(B33:M33)</f>
        <v>17790</v>
      </c>
      <c r="O33" s="44">
        <f t="shared" si="1"/>
        <v>2.2465031454832404E-2</v>
      </c>
    </row>
    <row r="34" spans="1:15" s="54" customFormat="1" ht="16.8" x14ac:dyDescent="0.4">
      <c r="A34" s="42" t="s">
        <v>162</v>
      </c>
      <c r="B34" s="52"/>
      <c r="C34" s="52"/>
      <c r="D34" s="52"/>
      <c r="E34" s="52"/>
      <c r="F34" s="52">
        <v>72</v>
      </c>
      <c r="G34" s="52">
        <v>138</v>
      </c>
      <c r="H34" s="52">
        <v>249</v>
      </c>
      <c r="I34" s="52">
        <v>327</v>
      </c>
      <c r="J34" s="52">
        <v>90</v>
      </c>
      <c r="K34" s="52"/>
      <c r="L34" s="52"/>
      <c r="M34" s="52"/>
      <c r="N34" s="52">
        <f t="shared" si="0"/>
        <v>876</v>
      </c>
      <c r="O34" s="44">
        <f t="shared" si="1"/>
        <v>1.1062039097489145E-3</v>
      </c>
    </row>
    <row r="35" spans="1:15" s="54" customFormat="1" ht="16.8" x14ac:dyDescent="0.4">
      <c r="A35" s="42" t="s">
        <v>183</v>
      </c>
      <c r="B35" s="52">
        <v>4</v>
      </c>
      <c r="C35" s="52">
        <v>4</v>
      </c>
      <c r="D35" s="52">
        <v>6</v>
      </c>
      <c r="E35" s="52"/>
      <c r="F35" s="52"/>
      <c r="G35" s="52"/>
      <c r="H35" s="52"/>
      <c r="I35" s="52"/>
      <c r="J35" s="52">
        <v>50</v>
      </c>
      <c r="K35" s="52">
        <v>40</v>
      </c>
      <c r="L35" s="52">
        <v>2.5</v>
      </c>
      <c r="M35" s="52">
        <v>10</v>
      </c>
      <c r="N35" s="52">
        <f t="shared" si="0"/>
        <v>116.5</v>
      </c>
      <c r="O35" s="44">
        <f t="shared" si="1"/>
        <v>1.4711501767779512E-4</v>
      </c>
    </row>
    <row r="36" spans="1:15" s="54" customFormat="1" ht="16.8" x14ac:dyDescent="0.4">
      <c r="A36" s="42" t="s">
        <v>196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>
        <f t="shared" si="0"/>
        <v>0</v>
      </c>
      <c r="O36" s="44">
        <f t="shared" si="1"/>
        <v>0</v>
      </c>
    </row>
    <row r="37" spans="1:15" s="54" customFormat="1" ht="16.8" x14ac:dyDescent="0.4">
      <c r="A37" s="42" t="s">
        <v>163</v>
      </c>
      <c r="B37" s="52"/>
      <c r="C37" s="52"/>
      <c r="D37" s="52"/>
      <c r="E37" s="52"/>
      <c r="F37" s="52">
        <v>756</v>
      </c>
      <c r="G37" s="52">
        <v>3528</v>
      </c>
      <c r="H37" s="52">
        <v>4340</v>
      </c>
      <c r="I37" s="52">
        <v>3948</v>
      </c>
      <c r="J37" s="52">
        <v>1232</v>
      </c>
      <c r="K37" s="52"/>
      <c r="L37" s="52"/>
      <c r="M37" s="52"/>
      <c r="N37" s="52">
        <f t="shared" si="0"/>
        <v>13804</v>
      </c>
      <c r="O37" s="44">
        <f t="shared" si="1"/>
        <v>1.7431551107504582E-2</v>
      </c>
    </row>
    <row r="38" spans="1:15" s="54" customFormat="1" ht="16.8" x14ac:dyDescent="0.4">
      <c r="A38" s="42" t="s">
        <v>187</v>
      </c>
      <c r="B38" s="52">
        <v>1580</v>
      </c>
      <c r="C38" s="52">
        <v>1820</v>
      </c>
      <c r="D38" s="52">
        <v>2710</v>
      </c>
      <c r="E38" s="52"/>
      <c r="F38" s="52"/>
      <c r="G38" s="52"/>
      <c r="H38" s="52"/>
      <c r="I38" s="52"/>
      <c r="J38" s="52">
        <v>2134</v>
      </c>
      <c r="K38" s="52">
        <v>2618</v>
      </c>
      <c r="L38" s="52">
        <v>2244</v>
      </c>
      <c r="M38" s="52">
        <v>1694</v>
      </c>
      <c r="N38" s="52">
        <f t="shared" si="0"/>
        <v>14800</v>
      </c>
      <c r="O38" s="44">
        <f t="shared" si="1"/>
        <v>1.8689289799410883E-2</v>
      </c>
    </row>
    <row r="39" spans="1:15" s="54" customFormat="1" ht="16.8" x14ac:dyDescent="0.4">
      <c r="A39" s="42" t="s">
        <v>164</v>
      </c>
      <c r="B39" s="52"/>
      <c r="C39" s="52"/>
      <c r="D39" s="52"/>
      <c r="E39" s="52"/>
      <c r="F39" s="52">
        <v>425</v>
      </c>
      <c r="G39" s="52">
        <v>1620</v>
      </c>
      <c r="H39" s="52">
        <v>1580</v>
      </c>
      <c r="I39" s="52">
        <v>1860</v>
      </c>
      <c r="J39" s="52">
        <v>500</v>
      </c>
      <c r="K39" s="52"/>
      <c r="L39" s="52"/>
      <c r="M39" s="52"/>
      <c r="N39" s="52">
        <f t="shared" si="0"/>
        <v>5985</v>
      </c>
      <c r="O39" s="44">
        <f t="shared" si="1"/>
        <v>7.557797260099604E-3</v>
      </c>
    </row>
    <row r="40" spans="1:15" s="54" customFormat="1" ht="16.8" x14ac:dyDescent="0.4">
      <c r="A40" s="42" t="s">
        <v>188</v>
      </c>
      <c r="B40" s="52">
        <v>1380</v>
      </c>
      <c r="C40" s="52">
        <v>855</v>
      </c>
      <c r="D40" s="52">
        <v>1830</v>
      </c>
      <c r="E40" s="52"/>
      <c r="F40" s="52"/>
      <c r="G40" s="52"/>
      <c r="H40" s="52"/>
      <c r="I40" s="52"/>
      <c r="J40" s="52">
        <v>1024</v>
      </c>
      <c r="K40" s="52">
        <v>1728</v>
      </c>
      <c r="L40" s="52">
        <v>1376</v>
      </c>
      <c r="M40" s="52">
        <v>1616</v>
      </c>
      <c r="N40" s="52">
        <f t="shared" si="0"/>
        <v>9809</v>
      </c>
      <c r="O40" s="44">
        <f t="shared" si="1"/>
        <v>1.2386705651514956E-2</v>
      </c>
    </row>
    <row r="41" spans="1:15" s="54" customFormat="1" ht="16.8" x14ac:dyDescent="0.4">
      <c r="A41" s="42" t="s">
        <v>165</v>
      </c>
      <c r="B41" s="52"/>
      <c r="C41" s="52"/>
      <c r="D41" s="52"/>
      <c r="E41" s="52"/>
      <c r="F41" s="52">
        <v>396</v>
      </c>
      <c r="G41" s="52">
        <v>1248</v>
      </c>
      <c r="H41" s="52">
        <v>2938</v>
      </c>
      <c r="I41" s="52">
        <v>1950</v>
      </c>
      <c r="J41" s="52">
        <v>572</v>
      </c>
      <c r="K41" s="52"/>
      <c r="L41" s="52"/>
      <c r="M41" s="52"/>
      <c r="N41" s="52">
        <f t="shared" si="0"/>
        <v>7104</v>
      </c>
      <c r="O41" s="44">
        <f t="shared" si="1"/>
        <v>8.9708591037172235E-3</v>
      </c>
    </row>
    <row r="42" spans="1:15" s="54" customFormat="1" ht="16.8" x14ac:dyDescent="0.4">
      <c r="A42" s="42" t="s">
        <v>189</v>
      </c>
      <c r="B42" s="52">
        <v>480</v>
      </c>
      <c r="C42" s="52">
        <v>480</v>
      </c>
      <c r="D42" s="52">
        <v>1000</v>
      </c>
      <c r="E42" s="52"/>
      <c r="F42" s="52"/>
      <c r="G42" s="52"/>
      <c r="H42" s="52"/>
      <c r="I42" s="52"/>
      <c r="J42" s="52">
        <v>987</v>
      </c>
      <c r="K42" s="52">
        <v>1050</v>
      </c>
      <c r="L42" s="52">
        <v>840</v>
      </c>
      <c r="M42" s="52">
        <v>588</v>
      </c>
      <c r="N42" s="52">
        <f t="shared" si="0"/>
        <v>5425</v>
      </c>
      <c r="O42" s="44">
        <f t="shared" si="1"/>
        <v>6.8506349433651382E-3</v>
      </c>
    </row>
    <row r="43" spans="1:15" s="54" customFormat="1" ht="16.8" x14ac:dyDescent="0.4">
      <c r="A43" s="42" t="s">
        <v>166</v>
      </c>
      <c r="B43" s="52"/>
      <c r="C43" s="52"/>
      <c r="D43" s="52"/>
      <c r="E43" s="52"/>
      <c r="F43" s="52">
        <v>476</v>
      </c>
      <c r="G43" s="52">
        <v>1802</v>
      </c>
      <c r="H43" s="52">
        <v>2720</v>
      </c>
      <c r="I43" s="52">
        <v>2686</v>
      </c>
      <c r="J43" s="52">
        <v>612</v>
      </c>
      <c r="K43" s="52"/>
      <c r="L43" s="52"/>
      <c r="M43" s="52"/>
      <c r="N43" s="52">
        <f t="shared" si="0"/>
        <v>8296</v>
      </c>
      <c r="O43" s="44">
        <f t="shared" si="1"/>
        <v>1.0476104606480586E-2</v>
      </c>
    </row>
    <row r="44" spans="1:15" s="54" customFormat="1" ht="16.8" x14ac:dyDescent="0.4">
      <c r="A44" s="42" t="s">
        <v>190</v>
      </c>
      <c r="B44" s="52">
        <v>624</v>
      </c>
      <c r="C44" s="52">
        <v>546</v>
      </c>
      <c r="D44" s="52">
        <v>1430</v>
      </c>
      <c r="E44" s="52"/>
      <c r="F44" s="52"/>
      <c r="G44" s="52"/>
      <c r="H44" s="52"/>
      <c r="I44" s="52"/>
      <c r="J44" s="52">
        <v>999</v>
      </c>
      <c r="K44" s="52">
        <v>1566</v>
      </c>
      <c r="L44" s="52">
        <v>810</v>
      </c>
      <c r="M44" s="52">
        <v>567</v>
      </c>
      <c r="N44" s="52">
        <f t="shared" si="0"/>
        <v>6542</v>
      </c>
      <c r="O44" s="44">
        <f t="shared" si="1"/>
        <v>8.2611712072801352E-3</v>
      </c>
    </row>
    <row r="45" spans="1:15" s="54" customFormat="1" ht="16.8" x14ac:dyDescent="0.4">
      <c r="A45" s="42" t="s">
        <v>167</v>
      </c>
      <c r="B45" s="52"/>
      <c r="C45" s="52"/>
      <c r="D45" s="52"/>
      <c r="E45" s="52"/>
      <c r="F45" s="52">
        <v>315</v>
      </c>
      <c r="G45" s="52">
        <v>1075</v>
      </c>
      <c r="H45" s="52">
        <v>1634</v>
      </c>
      <c r="I45" s="52">
        <v>1290</v>
      </c>
      <c r="J45" s="52">
        <v>430</v>
      </c>
      <c r="K45" s="52"/>
      <c r="L45" s="52"/>
      <c r="M45" s="52"/>
      <c r="N45" s="52">
        <f t="shared" si="0"/>
        <v>4744</v>
      </c>
      <c r="O45" s="44">
        <f t="shared" si="1"/>
        <v>5.9906750546219745E-3</v>
      </c>
    </row>
    <row r="46" spans="1:15" s="54" customFormat="1" ht="16.8" x14ac:dyDescent="0.4">
      <c r="A46" s="42" t="s">
        <v>191</v>
      </c>
      <c r="B46" s="52">
        <v>165</v>
      </c>
      <c r="C46" s="52">
        <v>462</v>
      </c>
      <c r="D46" s="52">
        <v>792</v>
      </c>
      <c r="E46" s="52"/>
      <c r="F46" s="52"/>
      <c r="G46" s="52"/>
      <c r="H46" s="52"/>
      <c r="I46" s="52"/>
      <c r="J46" s="52">
        <v>476</v>
      </c>
      <c r="K46" s="52">
        <v>476</v>
      </c>
      <c r="L46" s="52">
        <v>510</v>
      </c>
      <c r="M46" s="52">
        <v>340</v>
      </c>
      <c r="N46" s="52">
        <f t="shared" si="0"/>
        <v>3221</v>
      </c>
      <c r="O46" s="44">
        <f t="shared" si="1"/>
        <v>4.0674461110744905E-3</v>
      </c>
    </row>
    <row r="47" spans="1:15" s="54" customFormat="1" ht="16.8" x14ac:dyDescent="0.4">
      <c r="A47" s="42" t="s">
        <v>168</v>
      </c>
      <c r="B47" s="52"/>
      <c r="C47" s="52"/>
      <c r="D47" s="52"/>
      <c r="E47" s="52"/>
      <c r="F47" s="52">
        <v>43</v>
      </c>
      <c r="G47" s="52">
        <v>636</v>
      </c>
      <c r="H47" s="52">
        <v>1113</v>
      </c>
      <c r="I47" s="52">
        <v>689</v>
      </c>
      <c r="J47" s="52">
        <v>106</v>
      </c>
      <c r="K47" s="52"/>
      <c r="L47" s="52"/>
      <c r="M47" s="52"/>
      <c r="N47" s="52">
        <f t="shared" si="0"/>
        <v>2587</v>
      </c>
      <c r="O47" s="44">
        <f t="shared" si="1"/>
        <v>3.2668373453429698E-3</v>
      </c>
    </row>
    <row r="48" spans="1:15" s="54" customFormat="1" ht="16.8" x14ac:dyDescent="0.4">
      <c r="A48" s="42" t="s">
        <v>192</v>
      </c>
      <c r="B48" s="52">
        <v>123</v>
      </c>
      <c r="C48" s="52">
        <v>328</v>
      </c>
      <c r="D48" s="52">
        <v>205</v>
      </c>
      <c r="E48" s="52"/>
      <c r="F48" s="52"/>
      <c r="G48" s="52"/>
      <c r="H48" s="52"/>
      <c r="I48" s="52"/>
      <c r="J48" s="52">
        <v>210</v>
      </c>
      <c r="K48" s="52">
        <v>252</v>
      </c>
      <c r="L48" s="52">
        <v>84</v>
      </c>
      <c r="M48" s="52">
        <v>168</v>
      </c>
      <c r="N48" s="52">
        <f t="shared" si="0"/>
        <v>1370</v>
      </c>
      <c r="O48" s="44">
        <f t="shared" si="1"/>
        <v>1.7300220962968183E-3</v>
      </c>
    </row>
    <row r="49" spans="1:15" s="54" customFormat="1" ht="16.8" x14ac:dyDescent="0.4">
      <c r="A49" s="42" t="s">
        <v>169</v>
      </c>
      <c r="B49" s="52"/>
      <c r="C49" s="52"/>
      <c r="D49" s="52"/>
      <c r="E49" s="52"/>
      <c r="F49" s="52">
        <v>52</v>
      </c>
      <c r="G49" s="52"/>
      <c r="H49" s="52">
        <v>192</v>
      </c>
      <c r="I49" s="52">
        <v>192</v>
      </c>
      <c r="J49" s="52">
        <v>64</v>
      </c>
      <c r="K49" s="52"/>
      <c r="L49" s="52"/>
      <c r="M49" s="52"/>
      <c r="N49" s="52">
        <f t="shared" si="0"/>
        <v>500</v>
      </c>
      <c r="O49" s="44">
        <f t="shared" si="1"/>
        <v>6.3139492565577303E-4</v>
      </c>
    </row>
    <row r="50" spans="1:15" s="54" customFormat="1" ht="16.8" x14ac:dyDescent="0.4">
      <c r="A50" s="42" t="s">
        <v>193</v>
      </c>
      <c r="B50" s="52">
        <v>100</v>
      </c>
      <c r="C50" s="52"/>
      <c r="D50" s="52">
        <v>150</v>
      </c>
      <c r="E50" s="52"/>
      <c r="F50" s="52"/>
      <c r="G50" s="52"/>
      <c r="H50" s="52"/>
      <c r="I50" s="52"/>
      <c r="J50" s="52"/>
      <c r="K50" s="52">
        <v>204</v>
      </c>
      <c r="L50" s="52">
        <v>204</v>
      </c>
      <c r="M50" s="52">
        <v>102</v>
      </c>
      <c r="N50" s="52">
        <f t="shared" si="0"/>
        <v>760</v>
      </c>
      <c r="O50" s="44">
        <f t="shared" si="1"/>
        <v>9.5972028699677504E-4</v>
      </c>
    </row>
    <row r="51" spans="1:15" s="54" customFormat="1" ht="16.8" x14ac:dyDescent="0.4">
      <c r="A51" s="42" t="s">
        <v>170</v>
      </c>
      <c r="B51" s="52"/>
      <c r="C51" s="52"/>
      <c r="D51" s="52"/>
      <c r="E51" s="52"/>
      <c r="F51" s="52"/>
      <c r="G51" s="52">
        <v>525</v>
      </c>
      <c r="H51" s="52"/>
      <c r="I51" s="52">
        <v>75</v>
      </c>
      <c r="J51" s="52"/>
      <c r="K51" s="52"/>
      <c r="L51" s="52"/>
      <c r="M51" s="52"/>
      <c r="N51" s="52">
        <f t="shared" si="0"/>
        <v>600</v>
      </c>
      <c r="O51" s="44">
        <f t="shared" si="1"/>
        <v>7.576739107869277E-4</v>
      </c>
    </row>
    <row r="52" spans="1:15" s="54" customFormat="1" ht="16.8" x14ac:dyDescent="0.4">
      <c r="A52" s="42" t="s">
        <v>194</v>
      </c>
      <c r="B52" s="52">
        <v>177</v>
      </c>
      <c r="C52" s="52">
        <v>59</v>
      </c>
      <c r="D52" s="52">
        <v>118</v>
      </c>
      <c r="E52" s="52"/>
      <c r="F52" s="52"/>
      <c r="G52" s="52"/>
      <c r="H52" s="52"/>
      <c r="I52" s="52"/>
      <c r="J52" s="52">
        <v>720</v>
      </c>
      <c r="K52" s="52">
        <v>120</v>
      </c>
      <c r="L52" s="52">
        <v>60</v>
      </c>
      <c r="M52" s="52">
        <v>120</v>
      </c>
      <c r="N52" s="52">
        <f t="shared" si="0"/>
        <v>1374</v>
      </c>
      <c r="O52" s="44">
        <f t="shared" si="1"/>
        <v>1.7350732557020643E-3</v>
      </c>
    </row>
    <row r="53" spans="1:15" s="54" customFormat="1" ht="16.8" x14ac:dyDescent="0.4">
      <c r="A53" s="42" t="s">
        <v>171</v>
      </c>
      <c r="B53" s="52"/>
      <c r="C53" s="52"/>
      <c r="D53" s="52"/>
      <c r="E53" s="52"/>
      <c r="F53" s="52"/>
      <c r="G53" s="52">
        <v>178</v>
      </c>
      <c r="H53" s="52">
        <v>178</v>
      </c>
      <c r="I53" s="52"/>
      <c r="J53" s="52"/>
      <c r="K53" s="52"/>
      <c r="L53" s="52"/>
      <c r="M53" s="52"/>
      <c r="N53" s="52">
        <f t="shared" si="0"/>
        <v>356</v>
      </c>
      <c r="O53" s="44">
        <f t="shared" si="1"/>
        <v>4.4955318706691041E-4</v>
      </c>
    </row>
    <row r="54" spans="1:15" s="54" customFormat="1" ht="16.8" x14ac:dyDescent="0.4">
      <c r="A54" s="42" t="s">
        <v>195</v>
      </c>
      <c r="B54" s="52"/>
      <c r="C54" s="52">
        <v>280</v>
      </c>
      <c r="D54" s="52">
        <v>280</v>
      </c>
      <c r="E54" s="52"/>
      <c r="F54" s="52"/>
      <c r="G54" s="52"/>
      <c r="H54" s="52"/>
      <c r="I54" s="52"/>
      <c r="J54" s="52">
        <v>213</v>
      </c>
      <c r="K54" s="52">
        <v>639</v>
      </c>
      <c r="L54" s="52">
        <v>497</v>
      </c>
      <c r="M54" s="52"/>
      <c r="N54" s="52">
        <f t="shared" si="0"/>
        <v>1909</v>
      </c>
      <c r="O54" s="44">
        <f t="shared" si="1"/>
        <v>2.4106658261537415E-3</v>
      </c>
    </row>
    <row r="55" spans="1:15" s="54" customFormat="1" ht="16.8" x14ac:dyDescent="0.4">
      <c r="A55" s="42" t="s">
        <v>198</v>
      </c>
      <c r="B55" s="52">
        <v>12</v>
      </c>
      <c r="C55" s="52">
        <v>10.199999999999999</v>
      </c>
      <c r="D55" s="52">
        <v>13.8</v>
      </c>
      <c r="E55" s="52"/>
      <c r="F55" s="52">
        <v>3.6</v>
      </c>
      <c r="G55" s="52">
        <v>8.4</v>
      </c>
      <c r="H55" s="52"/>
      <c r="I55" s="52"/>
      <c r="J55" s="52">
        <v>10.8</v>
      </c>
      <c r="K55" s="52">
        <v>12</v>
      </c>
      <c r="L55" s="52">
        <v>11.4</v>
      </c>
      <c r="M55" s="52">
        <v>7.2</v>
      </c>
      <c r="N55" s="52">
        <f t="shared" si="0"/>
        <v>89.4</v>
      </c>
      <c r="O55" s="44">
        <f t="shared" si="1"/>
        <v>1.1289341270725223E-4</v>
      </c>
    </row>
    <row r="56" spans="1:15" ht="16.8" x14ac:dyDescent="0.4">
      <c r="A56" s="5" t="s">
        <v>25</v>
      </c>
      <c r="B56" s="39">
        <f t="shared" ref="B56:M56" si="2">SUM(B4:B55)</f>
        <v>62654</v>
      </c>
      <c r="C56" s="39">
        <f t="shared" si="2"/>
        <v>53990.7</v>
      </c>
      <c r="D56" s="39">
        <f t="shared" si="2"/>
        <v>75493.3</v>
      </c>
      <c r="E56" s="39">
        <f t="shared" si="2"/>
        <v>0</v>
      </c>
      <c r="F56" s="39">
        <f t="shared" si="2"/>
        <v>63573.1</v>
      </c>
      <c r="G56" s="39">
        <f t="shared" si="2"/>
        <v>76565.899999999994</v>
      </c>
      <c r="H56" s="39">
        <f t="shared" si="2"/>
        <v>103241</v>
      </c>
      <c r="I56" s="39">
        <f t="shared" si="2"/>
        <v>95117</v>
      </c>
      <c r="J56" s="39">
        <f t="shared" si="2"/>
        <v>76412.800000000003</v>
      </c>
      <c r="K56" s="39">
        <f t="shared" si="2"/>
        <v>64768</v>
      </c>
      <c r="L56" s="39">
        <f t="shared" si="2"/>
        <v>59107.9</v>
      </c>
      <c r="M56" s="39">
        <f t="shared" si="2"/>
        <v>60973.7</v>
      </c>
      <c r="N56" s="9">
        <f t="shared" si="0"/>
        <v>791897.4</v>
      </c>
      <c r="O56" s="10">
        <f t="shared" si="1"/>
        <v>1</v>
      </c>
    </row>
    <row r="57" spans="1:15" ht="16.8" x14ac:dyDescent="0.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6.8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6.8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 t="s">
        <v>148</v>
      </c>
      <c r="B60" s="39">
        <f t="shared" ref="B60:M60" si="3">+B4+B6+B8+B10+B5+B7+B9+B11+B13+B14+B20+B21+B23+B24+B27+B28+B31+B32+B37+B38+B39+B40+B41+B42+B43+B44+B45+B46+B47+B48+B49+B50+B51+B52+B53+B54</f>
        <v>50441</v>
      </c>
      <c r="C60" s="39">
        <f t="shared" si="3"/>
        <v>43411</v>
      </c>
      <c r="D60" s="39">
        <f t="shared" si="3"/>
        <v>61266</v>
      </c>
      <c r="E60" s="39">
        <f t="shared" si="3"/>
        <v>0</v>
      </c>
      <c r="F60" s="39">
        <f t="shared" si="3"/>
        <v>46768.5</v>
      </c>
      <c r="G60" s="39">
        <f t="shared" si="3"/>
        <v>58132</v>
      </c>
      <c r="H60" s="39">
        <f t="shared" si="3"/>
        <v>73949</v>
      </c>
      <c r="I60" s="39">
        <f t="shared" si="3"/>
        <v>69509</v>
      </c>
      <c r="J60" s="39">
        <f t="shared" si="3"/>
        <v>58837</v>
      </c>
      <c r="K60" s="39">
        <f t="shared" si="3"/>
        <v>52215</v>
      </c>
      <c r="L60" s="39">
        <f t="shared" si="3"/>
        <v>47765</v>
      </c>
      <c r="M60" s="39">
        <f t="shared" si="3"/>
        <v>49388</v>
      </c>
      <c r="N60" s="39">
        <f>+N4+N6+N8+N10+N5+N7+N9+N11+N13+N14+N20+N21+N23+N24+N27+N28+N31+N32+N37+N38+N39+N40+N41+N42+N43+N44+N45+N46+N47+N48+N49+N50+N51+N52+N53+N54</f>
        <v>611681.5</v>
      </c>
      <c r="O60" s="4"/>
    </row>
    <row r="61" spans="1:15" s="56" customFormat="1" ht="16.8" x14ac:dyDescent="0.4">
      <c r="A61" s="55" t="s">
        <v>149</v>
      </c>
      <c r="B61" s="50">
        <f t="shared" ref="B61:M61" si="4">+B12+B15+B16+B17+B18+B19+B22+B25+B26+B29+B30+B33+B34+B35+B36+B55</f>
        <v>12213</v>
      </c>
      <c r="C61" s="50">
        <f t="shared" si="4"/>
        <v>10579.7</v>
      </c>
      <c r="D61" s="50">
        <f t="shared" si="4"/>
        <v>14227.3</v>
      </c>
      <c r="E61" s="50">
        <f t="shared" si="4"/>
        <v>0</v>
      </c>
      <c r="F61" s="50">
        <f t="shared" si="4"/>
        <v>16804.599999999999</v>
      </c>
      <c r="G61" s="50">
        <f t="shared" si="4"/>
        <v>18433.900000000001</v>
      </c>
      <c r="H61" s="50">
        <f t="shared" si="4"/>
        <v>29292</v>
      </c>
      <c r="I61" s="50">
        <f t="shared" si="4"/>
        <v>25608</v>
      </c>
      <c r="J61" s="50">
        <f t="shared" si="4"/>
        <v>17575.8</v>
      </c>
      <c r="K61" s="50">
        <f t="shared" si="4"/>
        <v>12553</v>
      </c>
      <c r="L61" s="50">
        <f t="shared" si="4"/>
        <v>11342.9</v>
      </c>
      <c r="M61" s="50">
        <f t="shared" si="4"/>
        <v>11585.7</v>
      </c>
      <c r="N61" s="50">
        <f>+N12+N15+N16+N17+N18+N19+N22+N25+N26+N29+N30+N33+N34+N35+N36+N55</f>
        <v>180215.9</v>
      </c>
      <c r="O61" s="50"/>
    </row>
    <row r="62" spans="1:15" s="46" customFormat="1" ht="17.399999999999999" thickBot="1" x14ac:dyDescent="0.45">
      <c r="A62" s="48" t="s">
        <v>143</v>
      </c>
      <c r="B62" s="47">
        <f t="shared" ref="B62:N62" si="5">SUM(B60:B61)</f>
        <v>62654</v>
      </c>
      <c r="C62" s="47">
        <f t="shared" si="5"/>
        <v>53990.7</v>
      </c>
      <c r="D62" s="47">
        <f t="shared" si="5"/>
        <v>75493.3</v>
      </c>
      <c r="E62" s="47">
        <f t="shared" si="5"/>
        <v>0</v>
      </c>
      <c r="F62" s="47">
        <f t="shared" si="5"/>
        <v>63573.1</v>
      </c>
      <c r="G62" s="47">
        <f t="shared" si="5"/>
        <v>76565.899999999994</v>
      </c>
      <c r="H62" s="47">
        <f t="shared" si="5"/>
        <v>103241</v>
      </c>
      <c r="I62" s="47">
        <f t="shared" si="5"/>
        <v>95117</v>
      </c>
      <c r="J62" s="47">
        <f t="shared" si="5"/>
        <v>76412.800000000003</v>
      </c>
      <c r="K62" s="47">
        <f t="shared" si="5"/>
        <v>64768</v>
      </c>
      <c r="L62" s="47">
        <f t="shared" si="5"/>
        <v>59107.9</v>
      </c>
      <c r="M62" s="47">
        <f t="shared" si="5"/>
        <v>60973.7</v>
      </c>
      <c r="N62" s="47">
        <f t="shared" si="5"/>
        <v>791897.4</v>
      </c>
      <c r="O62" s="48"/>
    </row>
    <row r="63" spans="1:15" ht="17.399999999999999" thickTop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6.8" x14ac:dyDescent="0.4">
      <c r="A64" s="4"/>
      <c r="B64" s="39">
        <f t="shared" ref="B64:M64" si="6">+B62-B56</f>
        <v>0</v>
      </c>
      <c r="C64" s="39">
        <f t="shared" si="6"/>
        <v>0</v>
      </c>
      <c r="D64" s="39">
        <f t="shared" si="6"/>
        <v>0</v>
      </c>
      <c r="E64" s="39">
        <f t="shared" si="6"/>
        <v>0</v>
      </c>
      <c r="F64" s="39">
        <f t="shared" si="6"/>
        <v>0</v>
      </c>
      <c r="G64" s="39">
        <f t="shared" si="6"/>
        <v>0</v>
      </c>
      <c r="H64" s="39">
        <f t="shared" si="6"/>
        <v>0</v>
      </c>
      <c r="I64" s="39">
        <f t="shared" si="6"/>
        <v>0</v>
      </c>
      <c r="J64" s="39">
        <f t="shared" si="6"/>
        <v>0</v>
      </c>
      <c r="K64" s="39">
        <f t="shared" si="6"/>
        <v>0</v>
      </c>
      <c r="L64" s="39">
        <f t="shared" si="6"/>
        <v>0</v>
      </c>
      <c r="M64" s="39">
        <f t="shared" si="6"/>
        <v>0</v>
      </c>
      <c r="N64" s="4"/>
      <c r="O64" s="4"/>
    </row>
    <row r="69" spans="1:14" ht="16.2" x14ac:dyDescent="0.25">
      <c r="A69" s="60" t="s">
        <v>204</v>
      </c>
      <c r="B69" s="61">
        <f>+B4+B8+B6+B10+B13+B14</f>
        <v>26418</v>
      </c>
      <c r="C69" s="61">
        <f>+C4+C8+C6+C10+C13+C14</f>
        <v>19446</v>
      </c>
      <c r="D69" s="61">
        <f>+D4+D8+D6+D10+D13+D14</f>
        <v>31263</v>
      </c>
      <c r="E69" s="61">
        <f>+E4+E8+E6+E10+E13+E14</f>
        <v>0</v>
      </c>
      <c r="F69" s="61">
        <f>+F4+F8+F6+F10+F13+F14</f>
        <v>34101</v>
      </c>
      <c r="G69" s="64">
        <f>+G4+G5+G6+G7+G8+G9+G10+G11+G13+G14</f>
        <v>20570</v>
      </c>
      <c r="H69" s="64">
        <f t="shared" ref="H69:M69" si="7">+H4+H5+H6+H7+H8+H9+H10+H11+H13+H14</f>
        <v>18938</v>
      </c>
      <c r="I69" s="64">
        <f t="shared" si="7"/>
        <v>18513</v>
      </c>
      <c r="J69" s="64">
        <f t="shared" si="7"/>
        <v>19227</v>
      </c>
      <c r="K69" s="64">
        <f t="shared" si="7"/>
        <v>20281</v>
      </c>
      <c r="L69" s="64">
        <f t="shared" si="7"/>
        <v>18275</v>
      </c>
      <c r="M69" s="64">
        <f t="shared" si="7"/>
        <v>19822</v>
      </c>
      <c r="N69" s="61">
        <f>SUM(B69:M69)</f>
        <v>246854</v>
      </c>
    </row>
    <row r="70" spans="1:14" ht="16.2" x14ac:dyDescent="0.25">
      <c r="A70" s="60" t="s">
        <v>205</v>
      </c>
      <c r="B70" s="61">
        <f t="shared" ref="B70:G70" si="8">+B20+B21+B27+B28</f>
        <v>19374</v>
      </c>
      <c r="C70" s="61">
        <f t="shared" si="8"/>
        <v>19111</v>
      </c>
      <c r="D70" s="61">
        <f t="shared" si="8"/>
        <v>21439</v>
      </c>
      <c r="E70" s="61">
        <f t="shared" si="8"/>
        <v>0</v>
      </c>
      <c r="F70" s="61">
        <f t="shared" si="8"/>
        <v>10101</v>
      </c>
      <c r="G70" s="61">
        <f t="shared" si="8"/>
        <v>26645</v>
      </c>
      <c r="H70" s="61">
        <f t="shared" ref="H70:M70" si="9">+H20+H21+H27+H28</f>
        <v>39775</v>
      </c>
      <c r="I70" s="61">
        <f t="shared" si="9"/>
        <v>37894</v>
      </c>
      <c r="J70" s="61">
        <f t="shared" si="9"/>
        <v>28883</v>
      </c>
      <c r="K70" s="61">
        <f t="shared" si="9"/>
        <v>23196</v>
      </c>
      <c r="L70" s="61">
        <f t="shared" si="9"/>
        <v>22845</v>
      </c>
      <c r="M70" s="61">
        <f t="shared" si="9"/>
        <v>24351</v>
      </c>
      <c r="N70" s="61">
        <f t="shared" ref="N70:N75" si="10">SUM(B70:M70)</f>
        <v>273614</v>
      </c>
    </row>
    <row r="71" spans="1:14" ht="16.2" x14ac:dyDescent="0.25">
      <c r="A71" s="60" t="s">
        <v>206</v>
      </c>
      <c r="B71" s="61">
        <f t="shared" ref="B71:G71" si="11">+B23+B24+B31+B32</f>
        <v>20</v>
      </c>
      <c r="C71" s="61">
        <f t="shared" si="11"/>
        <v>24</v>
      </c>
      <c r="D71" s="61">
        <f t="shared" si="11"/>
        <v>49</v>
      </c>
      <c r="E71" s="61">
        <f t="shared" si="11"/>
        <v>0</v>
      </c>
      <c r="F71" s="61">
        <f t="shared" si="11"/>
        <v>103.5</v>
      </c>
      <c r="G71" s="61">
        <f t="shared" si="11"/>
        <v>305</v>
      </c>
      <c r="H71" s="61">
        <f t="shared" ref="H71:M71" si="12">+H23+H24+H31+H32</f>
        <v>541</v>
      </c>
      <c r="I71" s="61">
        <f t="shared" si="12"/>
        <v>412</v>
      </c>
      <c r="J71" s="61">
        <f t="shared" si="12"/>
        <v>448</v>
      </c>
      <c r="K71" s="61">
        <f t="shared" si="12"/>
        <v>85</v>
      </c>
      <c r="L71" s="61">
        <f t="shared" si="12"/>
        <v>20</v>
      </c>
      <c r="M71" s="61">
        <f t="shared" si="12"/>
        <v>20</v>
      </c>
      <c r="N71" s="61">
        <f t="shared" si="10"/>
        <v>2027.5</v>
      </c>
    </row>
    <row r="72" spans="1:14" ht="16.2" x14ac:dyDescent="0.25">
      <c r="A72" s="60" t="s">
        <v>207</v>
      </c>
      <c r="B72" s="61">
        <f t="shared" ref="B72:G72" si="13">+B37+B38+B39+B40+B41+B42+B43+B44+B45+B46+B47+B48+B49+B50+B51+B52+B53+B54</f>
        <v>4629</v>
      </c>
      <c r="C72" s="61">
        <f t="shared" si="13"/>
        <v>4830</v>
      </c>
      <c r="D72" s="61">
        <f t="shared" si="13"/>
        <v>8515</v>
      </c>
      <c r="E72" s="61">
        <f t="shared" si="13"/>
        <v>0</v>
      </c>
      <c r="F72" s="61">
        <f t="shared" si="13"/>
        <v>2463</v>
      </c>
      <c r="G72" s="61">
        <f t="shared" si="13"/>
        <v>10612</v>
      </c>
      <c r="H72" s="61">
        <f t="shared" ref="H72:M72" si="14">+H37+H38+H39+H40+H41+H42+H43+H44+H45+H46+H47+H48+H49+H50+H51+H52+H53+H54</f>
        <v>14695</v>
      </c>
      <c r="I72" s="61">
        <f t="shared" si="14"/>
        <v>12690</v>
      </c>
      <c r="J72" s="61">
        <f t="shared" si="14"/>
        <v>10279</v>
      </c>
      <c r="K72" s="61">
        <f t="shared" si="14"/>
        <v>8653</v>
      </c>
      <c r="L72" s="61">
        <f t="shared" si="14"/>
        <v>6625</v>
      </c>
      <c r="M72" s="61">
        <f t="shared" si="14"/>
        <v>5195</v>
      </c>
      <c r="N72" s="61">
        <f t="shared" si="10"/>
        <v>89186</v>
      </c>
    </row>
    <row r="73" spans="1:14" ht="16.2" x14ac:dyDescent="0.25">
      <c r="A73" s="60" t="s">
        <v>208</v>
      </c>
      <c r="B73" s="61">
        <f t="shared" ref="B73:G73" si="15">+B12+B17+B33</f>
        <v>7306</v>
      </c>
      <c r="C73" s="61">
        <f t="shared" si="15"/>
        <v>5727</v>
      </c>
      <c r="D73" s="61">
        <f t="shared" si="15"/>
        <v>8094</v>
      </c>
      <c r="E73" s="61">
        <f t="shared" si="15"/>
        <v>0</v>
      </c>
      <c r="F73" s="61">
        <f t="shared" si="15"/>
        <v>12130</v>
      </c>
      <c r="G73" s="61">
        <f t="shared" si="15"/>
        <v>4671</v>
      </c>
      <c r="H73" s="61">
        <f t="shared" ref="H73:M73" si="16">+H12+H17+H33</f>
        <v>4875</v>
      </c>
      <c r="I73" s="61">
        <f t="shared" si="16"/>
        <v>4948</v>
      </c>
      <c r="J73" s="61">
        <f t="shared" si="16"/>
        <v>4896</v>
      </c>
      <c r="K73" s="61">
        <f t="shared" si="16"/>
        <v>5117</v>
      </c>
      <c r="L73" s="61">
        <f t="shared" si="16"/>
        <v>4937</v>
      </c>
      <c r="M73" s="61">
        <f t="shared" si="16"/>
        <v>4587</v>
      </c>
      <c r="N73" s="61">
        <f t="shared" si="10"/>
        <v>67288</v>
      </c>
    </row>
    <row r="74" spans="1:14" ht="16.2" x14ac:dyDescent="0.25">
      <c r="A74" s="60" t="s">
        <v>209</v>
      </c>
      <c r="B74" s="61">
        <f t="shared" ref="B74:G74" si="17">+B18+B19+B29+B30</f>
        <v>4652</v>
      </c>
      <c r="C74" s="61">
        <f t="shared" si="17"/>
        <v>4611</v>
      </c>
      <c r="D74" s="61">
        <f t="shared" si="17"/>
        <v>5717</v>
      </c>
      <c r="E74" s="61">
        <f t="shared" si="17"/>
        <v>0</v>
      </c>
      <c r="F74" s="61">
        <f t="shared" si="17"/>
        <v>4218</v>
      </c>
      <c r="G74" s="61">
        <f t="shared" si="17"/>
        <v>11680.5</v>
      </c>
      <c r="H74" s="61">
        <f t="shared" ref="H74:M74" si="18">+H18+H19+H29+H30</f>
        <v>22218.5</v>
      </c>
      <c r="I74" s="61">
        <f t="shared" si="18"/>
        <v>18571.5</v>
      </c>
      <c r="J74" s="61">
        <f t="shared" si="18"/>
        <v>11369.5</v>
      </c>
      <c r="K74" s="61">
        <f t="shared" si="18"/>
        <v>6844</v>
      </c>
      <c r="L74" s="61">
        <f t="shared" si="18"/>
        <v>5989</v>
      </c>
      <c r="M74" s="61">
        <f t="shared" si="18"/>
        <v>6424.5</v>
      </c>
      <c r="N74" s="61">
        <f t="shared" si="10"/>
        <v>102295.5</v>
      </c>
    </row>
    <row r="75" spans="1:14" ht="16.2" x14ac:dyDescent="0.25">
      <c r="A75" s="60" t="s">
        <v>210</v>
      </c>
      <c r="B75" s="61">
        <f t="shared" ref="B75:G75" si="19">+B15+B16+B35+B34</f>
        <v>133</v>
      </c>
      <c r="C75" s="61">
        <f t="shared" si="19"/>
        <v>130</v>
      </c>
      <c r="D75" s="61">
        <f t="shared" si="19"/>
        <v>168</v>
      </c>
      <c r="E75" s="61">
        <f t="shared" si="19"/>
        <v>0</v>
      </c>
      <c r="F75" s="61">
        <f t="shared" si="19"/>
        <v>320</v>
      </c>
      <c r="G75" s="61">
        <f t="shared" si="19"/>
        <v>1047</v>
      </c>
      <c r="H75" s="61">
        <f t="shared" ref="H75:M75" si="20">+H15+H16+H35+H34</f>
        <v>1648.5</v>
      </c>
      <c r="I75" s="61">
        <f t="shared" si="20"/>
        <v>1888.5</v>
      </c>
      <c r="J75" s="61">
        <f t="shared" si="20"/>
        <v>1170.5</v>
      </c>
      <c r="K75" s="61">
        <f t="shared" si="20"/>
        <v>285</v>
      </c>
      <c r="L75" s="61">
        <f t="shared" si="20"/>
        <v>146</v>
      </c>
      <c r="M75" s="61">
        <f t="shared" si="20"/>
        <v>171</v>
      </c>
      <c r="N75" s="61">
        <f t="shared" si="10"/>
        <v>7107.5</v>
      </c>
    </row>
  </sheetData>
  <printOptions horizontalCentered="1" verticalCentered="1"/>
  <pageMargins left="0.4" right="0.4" top="0.7" bottom="0.7" header="0.5" footer="0.5"/>
  <pageSetup scale="5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topLeftCell="A23" zoomScale="75" workbookViewId="0">
      <pane xSplit="1" topLeftCell="B1" activePane="topRight" state="frozen"/>
      <selection pane="topRight" activeCell="F52" sqref="F52"/>
    </sheetView>
  </sheetViews>
  <sheetFormatPr defaultColWidth="8.33203125" defaultRowHeight="15" x14ac:dyDescent="0.25"/>
  <cols>
    <col min="1" max="1" width="29.08203125" bestFit="1" customWidth="1"/>
    <col min="2" max="13" width="8.33203125" customWidth="1"/>
    <col min="14" max="14" width="10.08203125" customWidth="1"/>
  </cols>
  <sheetData>
    <row r="1" spans="1:15" ht="18.600000000000001" x14ac:dyDescent="0.45">
      <c r="A1" s="3" t="s">
        <v>201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177</v>
      </c>
      <c r="B4" s="43">
        <v>11025</v>
      </c>
      <c r="C4" s="43">
        <v>9576</v>
      </c>
      <c r="D4" s="43">
        <v>10521</v>
      </c>
      <c r="E4" s="43">
        <v>11970</v>
      </c>
      <c r="F4" s="43">
        <v>13860</v>
      </c>
      <c r="G4" s="43">
        <v>16443</v>
      </c>
      <c r="H4" s="43">
        <v>15498</v>
      </c>
      <c r="I4" s="43">
        <v>13797</v>
      </c>
      <c r="J4" s="43">
        <v>11979</v>
      </c>
      <c r="K4" s="43">
        <v>6552</v>
      </c>
      <c r="L4" s="43">
        <v>9765</v>
      </c>
      <c r="M4" s="43">
        <v>8442</v>
      </c>
      <c r="N4" s="43">
        <f t="shared" ref="N4:N35" si="0">SUM(B4:M4)</f>
        <v>139428</v>
      </c>
      <c r="O4" s="44">
        <f t="shared" ref="O4:O35" si="1">N4/$N$52</f>
        <v>0.16341406328104938</v>
      </c>
    </row>
    <row r="5" spans="1:15" s="54" customFormat="1" ht="16.8" x14ac:dyDescent="0.4">
      <c r="A5" s="42" t="s">
        <v>108</v>
      </c>
      <c r="B5" s="51">
        <v>36</v>
      </c>
      <c r="C5" s="51"/>
      <c r="D5" s="51">
        <v>108</v>
      </c>
      <c r="E5" s="51">
        <v>216</v>
      </c>
      <c r="F5" s="51">
        <v>252</v>
      </c>
      <c r="G5" s="51">
        <v>252</v>
      </c>
      <c r="H5" s="51">
        <v>288</v>
      </c>
      <c r="I5" s="51">
        <v>216</v>
      </c>
      <c r="J5" s="51">
        <v>36</v>
      </c>
      <c r="K5" s="51">
        <v>72</v>
      </c>
      <c r="L5" s="51">
        <v>0</v>
      </c>
      <c r="M5" s="51"/>
      <c r="N5" s="52">
        <f t="shared" si="0"/>
        <v>1476</v>
      </c>
      <c r="O5" s="44">
        <f t="shared" si="1"/>
        <v>1.7299190794017622E-3</v>
      </c>
    </row>
    <row r="6" spans="1:15" s="54" customFormat="1" ht="16.8" x14ac:dyDescent="0.4">
      <c r="A6" s="42" t="s">
        <v>154</v>
      </c>
      <c r="B6" s="51">
        <v>8154</v>
      </c>
      <c r="C6" s="51">
        <v>6696</v>
      </c>
      <c r="D6" s="51">
        <v>7722</v>
      </c>
      <c r="E6" s="51">
        <v>9126</v>
      </c>
      <c r="F6" s="51">
        <v>10800</v>
      </c>
      <c r="G6" s="51">
        <v>10530</v>
      </c>
      <c r="H6" s="51">
        <v>10854</v>
      </c>
      <c r="I6" s="51">
        <v>9450</v>
      </c>
      <c r="J6" s="51">
        <v>7290</v>
      </c>
      <c r="K6" s="51">
        <v>3834</v>
      </c>
      <c r="L6" s="51">
        <v>5940</v>
      </c>
      <c r="M6" s="51">
        <v>5886</v>
      </c>
      <c r="N6" s="52">
        <f t="shared" si="0"/>
        <v>96282</v>
      </c>
      <c r="O6" s="44">
        <f t="shared" si="1"/>
        <v>0.11284557506975641</v>
      </c>
    </row>
    <row r="7" spans="1:15" s="54" customFormat="1" ht="16.8" x14ac:dyDescent="0.4">
      <c r="A7" s="42" t="s">
        <v>197</v>
      </c>
      <c r="B7" s="51">
        <v>27</v>
      </c>
      <c r="C7" s="51">
        <v>54</v>
      </c>
      <c r="D7" s="51">
        <v>27</v>
      </c>
      <c r="E7" s="51"/>
      <c r="F7" s="51">
        <v>27</v>
      </c>
      <c r="G7" s="51"/>
      <c r="H7" s="51">
        <v>54</v>
      </c>
      <c r="I7" s="51">
        <v>135</v>
      </c>
      <c r="J7" s="51">
        <v>27</v>
      </c>
      <c r="K7" s="51"/>
      <c r="L7" s="51">
        <v>0</v>
      </c>
      <c r="M7" s="51"/>
      <c r="N7" s="52">
        <f t="shared" si="0"/>
        <v>351</v>
      </c>
      <c r="O7" s="44">
        <f t="shared" si="1"/>
        <v>4.1138319571139466E-4</v>
      </c>
    </row>
    <row r="8" spans="1:15" s="54" customFormat="1" ht="16.8" x14ac:dyDescent="0.4">
      <c r="A8" s="42" t="s">
        <v>178</v>
      </c>
      <c r="B8" s="52">
        <v>259</v>
      </c>
      <c r="C8" s="52">
        <v>407</v>
      </c>
      <c r="D8" s="52">
        <v>222</v>
      </c>
      <c r="E8" s="52">
        <v>259</v>
      </c>
      <c r="F8" s="52">
        <v>148</v>
      </c>
      <c r="G8" s="52">
        <v>296</v>
      </c>
      <c r="H8" s="52">
        <v>259</v>
      </c>
      <c r="I8" s="52">
        <v>407</v>
      </c>
      <c r="J8" s="52">
        <v>333</v>
      </c>
      <c r="K8" s="52">
        <v>222</v>
      </c>
      <c r="L8" s="52">
        <v>222</v>
      </c>
      <c r="M8" s="52">
        <v>148</v>
      </c>
      <c r="N8" s="52">
        <f t="shared" si="0"/>
        <v>3182</v>
      </c>
      <c r="O8" s="44">
        <f t="shared" si="1"/>
        <v>3.7294054950246661E-3</v>
      </c>
    </row>
    <row r="9" spans="1:15" s="54" customFormat="1" ht="16.8" x14ac:dyDescent="0.4">
      <c r="A9" s="42" t="s">
        <v>176</v>
      </c>
      <c r="B9" s="52">
        <v>1419</v>
      </c>
      <c r="C9" s="52">
        <v>1290</v>
      </c>
      <c r="D9" s="52">
        <v>2064</v>
      </c>
      <c r="E9" s="52">
        <v>1419</v>
      </c>
      <c r="F9" s="52">
        <v>1290</v>
      </c>
      <c r="G9" s="52">
        <v>1548</v>
      </c>
      <c r="H9" s="52">
        <v>903</v>
      </c>
      <c r="I9" s="52">
        <v>1548</v>
      </c>
      <c r="J9" s="52">
        <v>516</v>
      </c>
      <c r="K9" s="52">
        <v>645</v>
      </c>
      <c r="L9" s="52">
        <v>774</v>
      </c>
      <c r="M9" s="52">
        <v>1548</v>
      </c>
      <c r="N9" s="52">
        <f t="shared" si="0"/>
        <v>14964</v>
      </c>
      <c r="O9" s="44">
        <f t="shared" si="1"/>
        <v>1.7538285300926808E-2</v>
      </c>
    </row>
    <row r="10" spans="1:15" s="54" customFormat="1" ht="16.8" x14ac:dyDescent="0.4">
      <c r="A10" s="42" t="s">
        <v>175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>
        <f t="shared" si="0"/>
        <v>0</v>
      </c>
      <c r="O10" s="44">
        <f t="shared" si="1"/>
        <v>0</v>
      </c>
    </row>
    <row r="11" spans="1:15" s="54" customFormat="1" ht="16.8" x14ac:dyDescent="0.4">
      <c r="A11" s="42" t="s">
        <v>156</v>
      </c>
      <c r="B11" s="52"/>
      <c r="C11" s="52"/>
      <c r="D11" s="52"/>
      <c r="E11" s="52"/>
      <c r="F11" s="52">
        <v>188</v>
      </c>
      <c r="G11" s="52">
        <v>664</v>
      </c>
      <c r="H11" s="52">
        <v>1452</v>
      </c>
      <c r="I11" s="52">
        <v>1204</v>
      </c>
      <c r="J11" s="52">
        <v>356</v>
      </c>
      <c r="K11" s="52"/>
      <c r="L11" s="52"/>
      <c r="M11" s="52"/>
      <c r="N11" s="52">
        <f t="shared" si="0"/>
        <v>3864</v>
      </c>
      <c r="O11" s="44">
        <f t="shared" si="1"/>
        <v>4.5287312485151826E-3</v>
      </c>
    </row>
    <row r="12" spans="1:15" s="54" customFormat="1" ht="16.8" x14ac:dyDescent="0.4">
      <c r="A12" s="42" t="s">
        <v>184</v>
      </c>
      <c r="B12" s="52">
        <v>213</v>
      </c>
      <c r="C12" s="52">
        <v>138</v>
      </c>
      <c r="D12" s="52">
        <v>228</v>
      </c>
      <c r="E12" s="52">
        <v>294</v>
      </c>
      <c r="F12" s="52">
        <v>309</v>
      </c>
      <c r="G12" s="52"/>
      <c r="H12" s="52"/>
      <c r="I12" s="52"/>
      <c r="J12" s="52">
        <v>273</v>
      </c>
      <c r="K12" s="52">
        <v>369</v>
      </c>
      <c r="L12" s="52">
        <v>129</v>
      </c>
      <c r="M12" s="52">
        <v>141</v>
      </c>
      <c r="N12" s="52">
        <f t="shared" si="0"/>
        <v>2094</v>
      </c>
      <c r="O12" s="44">
        <f t="shared" si="1"/>
        <v>2.4542347915090042E-3</v>
      </c>
    </row>
    <row r="13" spans="1:15" s="54" customFormat="1" ht="16.8" x14ac:dyDescent="0.4">
      <c r="A13" s="42" t="s">
        <v>111</v>
      </c>
      <c r="B13" s="52">
        <v>3285</v>
      </c>
      <c r="C13" s="52">
        <v>2520</v>
      </c>
      <c r="D13" s="52">
        <v>3375</v>
      </c>
      <c r="E13" s="52">
        <v>2970</v>
      </c>
      <c r="F13" s="52">
        <v>4320</v>
      </c>
      <c r="G13" s="52">
        <v>4770</v>
      </c>
      <c r="H13" s="52">
        <v>4410</v>
      </c>
      <c r="I13" s="52">
        <v>5445</v>
      </c>
      <c r="J13" s="52">
        <v>3285</v>
      </c>
      <c r="K13" s="52">
        <v>3600</v>
      </c>
      <c r="L13" s="52">
        <v>2655</v>
      </c>
      <c r="M13" s="52">
        <v>2025</v>
      </c>
      <c r="N13" s="52">
        <f t="shared" si="0"/>
        <v>42660</v>
      </c>
      <c r="O13" s="44">
        <f t="shared" si="1"/>
        <v>4.9998880709538736E-2</v>
      </c>
    </row>
    <row r="14" spans="1:15" s="54" customFormat="1" ht="16.8" x14ac:dyDescent="0.4">
      <c r="A14" s="42" t="s">
        <v>157</v>
      </c>
      <c r="B14" s="52"/>
      <c r="C14" s="52"/>
      <c r="D14" s="52"/>
      <c r="E14" s="52"/>
      <c r="F14" s="52">
        <v>3783</v>
      </c>
      <c r="G14" s="52">
        <v>8397</v>
      </c>
      <c r="H14" s="52">
        <v>14637</v>
      </c>
      <c r="I14" s="52">
        <v>13413</v>
      </c>
      <c r="J14" s="52">
        <v>4479</v>
      </c>
      <c r="K14" s="52"/>
      <c r="L14" s="52"/>
      <c r="M14" s="52"/>
      <c r="N14" s="52">
        <f t="shared" si="0"/>
        <v>44709</v>
      </c>
      <c r="O14" s="44">
        <f t="shared" si="1"/>
        <v>5.2400374065700125E-2</v>
      </c>
    </row>
    <row r="15" spans="1:15" s="54" customFormat="1" ht="16.8" x14ac:dyDescent="0.4">
      <c r="A15" s="42" t="s">
        <v>180</v>
      </c>
      <c r="B15" s="52">
        <v>4748</v>
      </c>
      <c r="C15" s="52">
        <v>4326</v>
      </c>
      <c r="D15" s="52">
        <v>5224</v>
      </c>
      <c r="E15" s="52">
        <v>5174</v>
      </c>
      <c r="F15" s="52">
        <v>3798</v>
      </c>
      <c r="G15" s="52"/>
      <c r="H15" s="52"/>
      <c r="I15" s="52"/>
      <c r="J15" s="52">
        <v>3602</v>
      </c>
      <c r="K15" s="52">
        <v>6424</v>
      </c>
      <c r="L15" s="52">
        <v>4746</v>
      </c>
      <c r="M15" s="52">
        <v>5408</v>
      </c>
      <c r="N15" s="52">
        <f t="shared" si="0"/>
        <v>43450</v>
      </c>
      <c r="O15" s="44">
        <f t="shared" si="1"/>
        <v>5.0924785907863528E-2</v>
      </c>
    </row>
    <row r="16" spans="1:15" s="54" customFormat="1" ht="16.8" x14ac:dyDescent="0.4">
      <c r="A16" s="42" t="s">
        <v>113</v>
      </c>
      <c r="B16" s="52"/>
      <c r="C16" s="52"/>
      <c r="D16" s="52"/>
      <c r="E16" s="52"/>
      <c r="F16" s="52">
        <v>11403</v>
      </c>
      <c r="G16" s="52">
        <v>22320</v>
      </c>
      <c r="H16" s="52">
        <v>32913</v>
      </c>
      <c r="I16" s="52">
        <v>31050</v>
      </c>
      <c r="J16" s="52">
        <v>10053</v>
      </c>
      <c r="K16" s="52"/>
      <c r="L16" s="52"/>
      <c r="M16" s="52"/>
      <c r="N16" s="52">
        <f t="shared" si="0"/>
        <v>107739</v>
      </c>
      <c r="O16" s="44">
        <f t="shared" si="1"/>
        <v>0.12627354450925912</v>
      </c>
    </row>
    <row r="17" spans="1:15" s="54" customFormat="1" ht="16.8" x14ac:dyDescent="0.4">
      <c r="A17" s="42" t="s">
        <v>179</v>
      </c>
      <c r="B17" s="52">
        <v>18494</v>
      </c>
      <c r="C17" s="52">
        <v>18109</v>
      </c>
      <c r="D17" s="52">
        <v>20328</v>
      </c>
      <c r="E17" s="52">
        <v>21847</v>
      </c>
      <c r="F17" s="52">
        <v>13440</v>
      </c>
      <c r="G17" s="52"/>
      <c r="H17" s="52"/>
      <c r="I17" s="52"/>
      <c r="J17" s="52">
        <v>12656</v>
      </c>
      <c r="K17" s="52">
        <f>1183+8722</f>
        <v>9905</v>
      </c>
      <c r="L17" s="52">
        <v>18564</v>
      </c>
      <c r="M17" s="52">
        <v>20923</v>
      </c>
      <c r="N17" s="52">
        <f t="shared" si="0"/>
        <v>154266</v>
      </c>
      <c r="O17" s="44">
        <f t="shared" si="1"/>
        <v>0.18080467256300287</v>
      </c>
    </row>
    <row r="18" spans="1:15" s="54" customFormat="1" ht="16.8" x14ac:dyDescent="0.4">
      <c r="A18" s="42" t="s">
        <v>114</v>
      </c>
      <c r="B18" s="52">
        <v>315</v>
      </c>
      <c r="C18" s="52"/>
      <c r="D18" s="52"/>
      <c r="E18" s="52"/>
      <c r="F18" s="52">
        <v>315</v>
      </c>
      <c r="G18" s="52">
        <v>631</v>
      </c>
      <c r="H18" s="52">
        <v>100</v>
      </c>
      <c r="I18" s="52">
        <v>200</v>
      </c>
      <c r="J18" s="52">
        <v>1615</v>
      </c>
      <c r="K18" s="52"/>
      <c r="L18" s="52">
        <v>630</v>
      </c>
      <c r="M18" s="52"/>
      <c r="N18" s="52">
        <f t="shared" si="0"/>
        <v>3806</v>
      </c>
      <c r="O18" s="44">
        <f t="shared" si="1"/>
        <v>4.4607533985115896E-3</v>
      </c>
    </row>
    <row r="19" spans="1:15" s="54" customFormat="1" ht="16.8" x14ac:dyDescent="0.4">
      <c r="A19" s="42" t="s">
        <v>158</v>
      </c>
      <c r="B19" s="52"/>
      <c r="C19" s="52"/>
      <c r="D19" s="52"/>
      <c r="E19" s="52"/>
      <c r="F19" s="52">
        <v>108</v>
      </c>
      <c r="G19" s="52">
        <v>342</v>
      </c>
      <c r="H19" s="52">
        <v>540</v>
      </c>
      <c r="I19" s="52">
        <v>426</v>
      </c>
      <c r="J19" s="52">
        <v>120</v>
      </c>
      <c r="K19" s="52"/>
      <c r="L19" s="52"/>
      <c r="M19" s="52"/>
      <c r="N19" s="52">
        <f t="shared" si="0"/>
        <v>1536</v>
      </c>
      <c r="O19" s="44">
        <f t="shared" si="1"/>
        <v>1.8002409931985818E-3</v>
      </c>
    </row>
    <row r="20" spans="1:15" s="54" customFormat="1" ht="16.8" x14ac:dyDescent="0.4">
      <c r="A20" s="42" t="s">
        <v>185</v>
      </c>
      <c r="B20" s="52">
        <v>112</v>
      </c>
      <c r="C20" s="52">
        <v>196</v>
      </c>
      <c r="D20" s="52">
        <v>272</v>
      </c>
      <c r="E20" s="52">
        <v>196</v>
      </c>
      <c r="F20" s="52">
        <v>152</v>
      </c>
      <c r="G20" s="52"/>
      <c r="H20" s="52"/>
      <c r="I20" s="52"/>
      <c r="J20" s="52">
        <v>180</v>
      </c>
      <c r="K20" s="52">
        <v>116</v>
      </c>
      <c r="L20" s="52">
        <v>40</v>
      </c>
      <c r="M20" s="52">
        <v>44</v>
      </c>
      <c r="N20" s="52">
        <f t="shared" si="0"/>
        <v>1308</v>
      </c>
      <c r="O20" s="44">
        <f t="shared" si="1"/>
        <v>1.5330177207706673E-3</v>
      </c>
    </row>
    <row r="21" spans="1:15" s="54" customFormat="1" ht="16.8" x14ac:dyDescent="0.4">
      <c r="A21" s="42" t="s">
        <v>10</v>
      </c>
      <c r="B21" s="52">
        <v>104.5</v>
      </c>
      <c r="C21" s="52">
        <v>99</v>
      </c>
      <c r="D21" s="52">
        <v>110</v>
      </c>
      <c r="E21" s="52">
        <v>110</v>
      </c>
      <c r="F21" s="52">
        <v>110</v>
      </c>
      <c r="G21" s="52">
        <v>77</v>
      </c>
      <c r="H21" s="52"/>
      <c r="I21" s="52"/>
      <c r="J21" s="52">
        <v>93.5</v>
      </c>
      <c r="K21" s="52">
        <v>115.5</v>
      </c>
      <c r="L21" s="52">
        <v>104.5</v>
      </c>
      <c r="M21" s="52">
        <v>71.5</v>
      </c>
      <c r="N21" s="52">
        <f>SUM(B21:M21)</f>
        <v>995.5</v>
      </c>
      <c r="O21" s="44">
        <f t="shared" si="1"/>
        <v>1.1667577530788985E-3</v>
      </c>
    </row>
    <row r="22" spans="1:15" s="54" customFormat="1" ht="16.8" x14ac:dyDescent="0.4">
      <c r="A22" s="42" t="s">
        <v>11</v>
      </c>
      <c r="B22" s="52"/>
      <c r="C22" s="52"/>
      <c r="D22" s="52">
        <v>4</v>
      </c>
      <c r="E22" s="52">
        <v>8</v>
      </c>
      <c r="F22" s="52">
        <v>4</v>
      </c>
      <c r="G22" s="52">
        <v>12</v>
      </c>
      <c r="H22" s="52">
        <v>26</v>
      </c>
      <c r="I22" s="52">
        <v>48</v>
      </c>
      <c r="J22" s="52">
        <v>260</v>
      </c>
      <c r="K22" s="52">
        <v>8</v>
      </c>
      <c r="L22" s="52">
        <v>72</v>
      </c>
      <c r="M22" s="52"/>
      <c r="N22" s="52">
        <f t="shared" si="0"/>
        <v>442</v>
      </c>
      <c r="O22" s="44">
        <f t="shared" si="1"/>
        <v>5.1803809830323769E-4</v>
      </c>
    </row>
    <row r="23" spans="1:15" s="54" customFormat="1" ht="16.8" x14ac:dyDescent="0.4">
      <c r="A23" s="42" t="s">
        <v>159</v>
      </c>
      <c r="B23" s="52"/>
      <c r="C23" s="52"/>
      <c r="D23" s="52"/>
      <c r="E23" s="52"/>
      <c r="F23" s="52">
        <v>1875</v>
      </c>
      <c r="G23" s="52">
        <v>3577.5</v>
      </c>
      <c r="H23" s="52">
        <v>5175</v>
      </c>
      <c r="I23" s="52">
        <v>4747.5</v>
      </c>
      <c r="J23" s="52">
        <v>1627.5</v>
      </c>
      <c r="K23" s="52"/>
      <c r="L23" s="52"/>
      <c r="M23" s="52"/>
      <c r="N23" s="52">
        <f>SUM(B23:M23)</f>
        <v>17002.5</v>
      </c>
      <c r="O23" s="44">
        <f t="shared" si="1"/>
        <v>1.9927472322173755E-2</v>
      </c>
    </row>
    <row r="24" spans="1:15" s="54" customFormat="1" ht="16.8" x14ac:dyDescent="0.4">
      <c r="A24" s="42" t="s">
        <v>181</v>
      </c>
      <c r="B24" s="52">
        <v>2526</v>
      </c>
      <c r="C24" s="52">
        <v>2298</v>
      </c>
      <c r="D24" s="52">
        <v>2826</v>
      </c>
      <c r="E24" s="52">
        <v>3522</v>
      </c>
      <c r="F24" s="52">
        <v>2454</v>
      </c>
      <c r="G24" s="52"/>
      <c r="H24" s="52"/>
      <c r="I24" s="52"/>
      <c r="J24" s="52">
        <v>2100</v>
      </c>
      <c r="K24" s="52">
        <v>1638</v>
      </c>
      <c r="L24" s="52">
        <v>3114</v>
      </c>
      <c r="M24" s="52">
        <v>3864</v>
      </c>
      <c r="N24" s="52">
        <f>SUM(B24:M24)</f>
        <v>24342</v>
      </c>
      <c r="O24" s="44">
        <f t="shared" si="1"/>
        <v>2.8529600427369711E-2</v>
      </c>
    </row>
    <row r="25" spans="1:15" s="54" customFormat="1" ht="16.8" x14ac:dyDescent="0.4">
      <c r="A25" s="42" t="s">
        <v>211</v>
      </c>
      <c r="B25" s="52"/>
      <c r="C25" s="52"/>
      <c r="D25" s="52"/>
      <c r="E25" s="52"/>
      <c r="F25" s="52">
        <v>991</v>
      </c>
      <c r="G25" s="52">
        <v>2301.5</v>
      </c>
      <c r="H25" s="52">
        <v>4555.5</v>
      </c>
      <c r="I25" s="52">
        <v>4008</v>
      </c>
      <c r="J25" s="52">
        <v>1168.5</v>
      </c>
      <c r="K25" s="52"/>
      <c r="L25" s="52"/>
      <c r="M25" s="52"/>
      <c r="N25" s="52">
        <f>SUM(B25:M25)</f>
        <v>13024.5</v>
      </c>
      <c r="O25" s="44">
        <f t="shared" si="1"/>
        <v>1.5265129437444614E-2</v>
      </c>
    </row>
    <row r="26" spans="1:15" s="54" customFormat="1" ht="16.8" x14ac:dyDescent="0.4">
      <c r="A26" s="42" t="s">
        <v>212</v>
      </c>
      <c r="B26" s="52">
        <v>943</v>
      </c>
      <c r="C26" s="52">
        <v>882</v>
      </c>
      <c r="D26" s="52">
        <v>1064</v>
      </c>
      <c r="E26" s="52">
        <v>1274</v>
      </c>
      <c r="F26" s="52">
        <v>861</v>
      </c>
      <c r="G26" s="52"/>
      <c r="H26" s="52"/>
      <c r="I26" s="52"/>
      <c r="J26" s="52">
        <v>769</v>
      </c>
      <c r="K26" s="52">
        <v>1230</v>
      </c>
      <c r="L26" s="52">
        <v>993</v>
      </c>
      <c r="M26" s="52">
        <v>1281</v>
      </c>
      <c r="N26" s="52">
        <f>SUM(B26:M26)</f>
        <v>9297</v>
      </c>
      <c r="O26" s="44">
        <f t="shared" si="1"/>
        <v>1.0896380542817196E-2</v>
      </c>
    </row>
    <row r="27" spans="1:15" s="54" customFormat="1" ht="16.8" x14ac:dyDescent="0.4">
      <c r="A27" s="42" t="s">
        <v>186</v>
      </c>
      <c r="B27" s="52"/>
      <c r="C27" s="52"/>
      <c r="D27" s="52"/>
      <c r="E27" s="52"/>
      <c r="F27" s="52">
        <v>0</v>
      </c>
      <c r="G27" s="52">
        <v>13.5</v>
      </c>
      <c r="H27" s="52">
        <v>49.5</v>
      </c>
      <c r="I27" s="52">
        <v>54</v>
      </c>
      <c r="J27" s="52">
        <v>9</v>
      </c>
      <c r="K27" s="52"/>
      <c r="L27" s="52"/>
      <c r="M27" s="52"/>
      <c r="N27" s="52">
        <f t="shared" si="0"/>
        <v>126</v>
      </c>
      <c r="O27" s="44">
        <f t="shared" si="1"/>
        <v>1.4767601897332116E-4</v>
      </c>
    </row>
    <row r="28" spans="1:15" s="54" customFormat="1" ht="16.8" x14ac:dyDescent="0.4">
      <c r="A28" s="42" t="s">
        <v>182</v>
      </c>
      <c r="B28" s="52">
        <v>3</v>
      </c>
      <c r="C28" s="52"/>
      <c r="D28" s="52">
        <v>6</v>
      </c>
      <c r="E28" s="52">
        <v>3</v>
      </c>
      <c r="F28" s="52">
        <v>15</v>
      </c>
      <c r="G28" s="52"/>
      <c r="H28" s="52"/>
      <c r="I28" s="52"/>
      <c r="J28" s="52"/>
      <c r="K28" s="52"/>
      <c r="L28" s="52"/>
      <c r="M28" s="52"/>
      <c r="N28" s="52">
        <f t="shared" si="0"/>
        <v>27</v>
      </c>
      <c r="O28" s="44">
        <f t="shared" si="1"/>
        <v>3.1644861208568818E-5</v>
      </c>
    </row>
    <row r="29" spans="1:15" s="54" customFormat="1" ht="16.8" x14ac:dyDescent="0.4">
      <c r="A29" s="42" t="s">
        <v>14</v>
      </c>
      <c r="B29" s="52">
        <v>1219</v>
      </c>
      <c r="C29" s="52">
        <v>598</v>
      </c>
      <c r="D29" s="52">
        <v>1380</v>
      </c>
      <c r="E29" s="52">
        <v>1058</v>
      </c>
      <c r="F29" s="52">
        <v>1771</v>
      </c>
      <c r="G29" s="52">
        <v>1886</v>
      </c>
      <c r="H29" s="52">
        <v>1679</v>
      </c>
      <c r="I29" s="52">
        <v>1725</v>
      </c>
      <c r="J29" s="52">
        <v>1127</v>
      </c>
      <c r="K29" s="52">
        <v>1081</v>
      </c>
      <c r="L29" s="52">
        <v>598</v>
      </c>
      <c r="M29" s="52">
        <v>529</v>
      </c>
      <c r="N29" s="52">
        <f>SUM(B29:M29)</f>
        <v>14651</v>
      </c>
      <c r="O29" s="44">
        <f t="shared" si="1"/>
        <v>1.7171439317286732E-2</v>
      </c>
    </row>
    <row r="30" spans="1:15" s="54" customFormat="1" ht="16.8" x14ac:dyDescent="0.4">
      <c r="A30" s="42" t="s">
        <v>162</v>
      </c>
      <c r="B30" s="52"/>
      <c r="C30" s="52"/>
      <c r="D30" s="52"/>
      <c r="E30" s="52"/>
      <c r="F30" s="52">
        <v>9</v>
      </c>
      <c r="G30" s="52">
        <v>123</v>
      </c>
      <c r="H30" s="52">
        <v>255</v>
      </c>
      <c r="I30" s="52">
        <v>291</v>
      </c>
      <c r="J30" s="52">
        <v>60</v>
      </c>
      <c r="K30" s="52"/>
      <c r="L30" s="52"/>
      <c r="M30" s="52"/>
      <c r="N30" s="52">
        <f t="shared" si="0"/>
        <v>738</v>
      </c>
      <c r="O30" s="44">
        <f t="shared" si="1"/>
        <v>8.649595397008811E-4</v>
      </c>
    </row>
    <row r="31" spans="1:15" s="54" customFormat="1" ht="16.8" x14ac:dyDescent="0.4">
      <c r="A31" s="42" t="s">
        <v>183</v>
      </c>
      <c r="B31" s="52">
        <v>24</v>
      </c>
      <c r="C31" s="52">
        <v>32</v>
      </c>
      <c r="D31" s="52">
        <v>46</v>
      </c>
      <c r="E31" s="52">
        <v>32</v>
      </c>
      <c r="F31" s="52">
        <v>30</v>
      </c>
      <c r="G31" s="52"/>
      <c r="H31" s="52"/>
      <c r="I31" s="52"/>
      <c r="J31" s="52">
        <v>50</v>
      </c>
      <c r="K31" s="52">
        <v>58</v>
      </c>
      <c r="L31" s="52">
        <v>14</v>
      </c>
      <c r="M31" s="52">
        <v>16</v>
      </c>
      <c r="N31" s="52">
        <f t="shared" si="0"/>
        <v>302</v>
      </c>
      <c r="O31" s="44">
        <f t="shared" si="1"/>
        <v>3.5395363277732533E-4</v>
      </c>
    </row>
    <row r="32" spans="1:15" s="54" customFormat="1" ht="16.8" x14ac:dyDescent="0.4">
      <c r="A32" s="42" t="s">
        <v>196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>
        <f t="shared" si="0"/>
        <v>0</v>
      </c>
      <c r="O32" s="44">
        <f t="shared" si="1"/>
        <v>0</v>
      </c>
    </row>
    <row r="33" spans="1:15" s="54" customFormat="1" ht="16.8" x14ac:dyDescent="0.4">
      <c r="A33" s="42" t="s">
        <v>163</v>
      </c>
      <c r="B33" s="52"/>
      <c r="C33" s="52"/>
      <c r="D33" s="52"/>
      <c r="E33" s="52"/>
      <c r="F33" s="52">
        <v>1224</v>
      </c>
      <c r="G33" s="52">
        <v>3480</v>
      </c>
      <c r="H33" s="52">
        <v>3924</v>
      </c>
      <c r="I33" s="52">
        <v>4104</v>
      </c>
      <c r="J33" s="52">
        <v>1272</v>
      </c>
      <c r="K33" s="52"/>
      <c r="L33" s="52"/>
      <c r="M33" s="52"/>
      <c r="N33" s="52">
        <f t="shared" si="0"/>
        <v>14004</v>
      </c>
      <c r="O33" s="44">
        <f t="shared" si="1"/>
        <v>1.6413134680177695E-2</v>
      </c>
    </row>
    <row r="34" spans="1:15" s="54" customFormat="1" ht="16.8" x14ac:dyDescent="0.4">
      <c r="A34" s="42" t="s">
        <v>187</v>
      </c>
      <c r="B34" s="52">
        <v>2660</v>
      </c>
      <c r="C34" s="52">
        <v>2280</v>
      </c>
      <c r="D34" s="52">
        <v>2460</v>
      </c>
      <c r="E34" s="52">
        <v>2930</v>
      </c>
      <c r="F34" s="52">
        <v>1550</v>
      </c>
      <c r="G34" s="52"/>
      <c r="H34" s="52"/>
      <c r="I34" s="52"/>
      <c r="J34" s="52">
        <v>2220</v>
      </c>
      <c r="K34" s="52">
        <v>1580</v>
      </c>
      <c r="L34" s="52">
        <v>3289</v>
      </c>
      <c r="M34" s="52">
        <v>2880</v>
      </c>
      <c r="N34" s="52">
        <f t="shared" si="0"/>
        <v>21849</v>
      </c>
      <c r="O34" s="44">
        <f t="shared" si="1"/>
        <v>2.5607724909111857E-2</v>
      </c>
    </row>
    <row r="35" spans="1:15" s="54" customFormat="1" ht="16.8" x14ac:dyDescent="0.4">
      <c r="A35" s="42" t="s">
        <v>164</v>
      </c>
      <c r="B35" s="52"/>
      <c r="C35" s="52"/>
      <c r="D35" s="52"/>
      <c r="E35" s="52"/>
      <c r="F35" s="52">
        <v>374</v>
      </c>
      <c r="G35" s="52">
        <v>2397</v>
      </c>
      <c r="H35" s="52">
        <v>2006</v>
      </c>
      <c r="I35" s="52">
        <v>1904</v>
      </c>
      <c r="J35" s="52">
        <v>833</v>
      </c>
      <c r="K35" s="52"/>
      <c r="L35" s="52"/>
      <c r="M35" s="52"/>
      <c r="N35" s="52">
        <f t="shared" si="0"/>
        <v>7514</v>
      </c>
      <c r="O35" s="44">
        <f t="shared" si="1"/>
        <v>8.806647671155042E-3</v>
      </c>
    </row>
    <row r="36" spans="1:15" s="54" customFormat="1" ht="16.8" x14ac:dyDescent="0.4">
      <c r="A36" s="42" t="s">
        <v>188</v>
      </c>
      <c r="B36" s="52">
        <v>2475</v>
      </c>
      <c r="C36" s="52">
        <v>1410</v>
      </c>
      <c r="D36" s="52">
        <v>1395</v>
      </c>
      <c r="E36" s="52">
        <v>1395</v>
      </c>
      <c r="F36" s="52">
        <v>900</v>
      </c>
      <c r="G36" s="52"/>
      <c r="H36" s="52"/>
      <c r="I36" s="52"/>
      <c r="J36" s="52">
        <v>3045</v>
      </c>
      <c r="K36" s="52">
        <v>750</v>
      </c>
      <c r="L36" s="52">
        <v>1380</v>
      </c>
      <c r="M36" s="52">
        <v>1365</v>
      </c>
      <c r="N36" s="52">
        <f t="shared" ref="N36:N52" si="2">SUM(B36:M36)</f>
        <v>14115</v>
      </c>
      <c r="O36" s="44">
        <f t="shared" ref="O36:O52" si="3">N36/$N$52</f>
        <v>1.654323022070181E-2</v>
      </c>
    </row>
    <row r="37" spans="1:15" s="54" customFormat="1" ht="16.8" x14ac:dyDescent="0.4">
      <c r="A37" s="42" t="s">
        <v>165</v>
      </c>
      <c r="B37" s="52"/>
      <c r="C37" s="52"/>
      <c r="D37" s="52"/>
      <c r="E37" s="52"/>
      <c r="F37" s="52">
        <v>374</v>
      </c>
      <c r="G37" s="52">
        <v>946</v>
      </c>
      <c r="H37" s="52">
        <v>1606</v>
      </c>
      <c r="I37" s="52">
        <v>3080</v>
      </c>
      <c r="J37" s="52">
        <v>814</v>
      </c>
      <c r="K37" s="52"/>
      <c r="L37" s="52"/>
      <c r="M37" s="52"/>
      <c r="N37" s="52">
        <f t="shared" si="2"/>
        <v>6820</v>
      </c>
      <c r="O37" s="44">
        <f t="shared" si="3"/>
        <v>7.993257534905162E-3</v>
      </c>
    </row>
    <row r="38" spans="1:15" s="54" customFormat="1" ht="16.8" x14ac:dyDescent="0.4">
      <c r="A38" s="42" t="s">
        <v>189</v>
      </c>
      <c r="B38" s="52">
        <v>740</v>
      </c>
      <c r="C38" s="52">
        <v>600</v>
      </c>
      <c r="D38" s="52">
        <v>1000</v>
      </c>
      <c r="E38" s="52">
        <v>820</v>
      </c>
      <c r="F38" s="52">
        <v>500</v>
      </c>
      <c r="G38" s="52"/>
      <c r="H38" s="52"/>
      <c r="I38" s="52"/>
      <c r="J38" s="52">
        <v>1400</v>
      </c>
      <c r="K38" s="52">
        <v>460</v>
      </c>
      <c r="L38" s="52">
        <v>1040</v>
      </c>
      <c r="M38" s="52">
        <v>620</v>
      </c>
      <c r="N38" s="52">
        <f t="shared" si="2"/>
        <v>7180</v>
      </c>
      <c r="O38" s="44">
        <f t="shared" si="3"/>
        <v>8.4151890176860783E-3</v>
      </c>
    </row>
    <row r="39" spans="1:15" s="54" customFormat="1" ht="16.8" x14ac:dyDescent="0.4">
      <c r="A39" s="42" t="s">
        <v>166</v>
      </c>
      <c r="B39" s="52"/>
      <c r="C39" s="52"/>
      <c r="D39" s="52"/>
      <c r="E39" s="52"/>
      <c r="F39" s="52">
        <v>476</v>
      </c>
      <c r="G39" s="52">
        <v>1400</v>
      </c>
      <c r="H39" s="52">
        <v>2072</v>
      </c>
      <c r="I39" s="52">
        <v>3584</v>
      </c>
      <c r="J39" s="52">
        <v>504</v>
      </c>
      <c r="K39" s="52"/>
      <c r="L39" s="52"/>
      <c r="M39" s="52"/>
      <c r="N39" s="52">
        <f t="shared" si="2"/>
        <v>8036</v>
      </c>
      <c r="O39" s="44">
        <f t="shared" si="3"/>
        <v>9.4184483211873712E-3</v>
      </c>
    </row>
    <row r="40" spans="1:15" s="54" customFormat="1" ht="16.8" x14ac:dyDescent="0.4">
      <c r="A40" s="42" t="s">
        <v>190</v>
      </c>
      <c r="B40" s="52">
        <v>988</v>
      </c>
      <c r="C40" s="52">
        <v>832</v>
      </c>
      <c r="D40" s="52">
        <v>1456</v>
      </c>
      <c r="E40" s="52">
        <v>1274</v>
      </c>
      <c r="F40" s="52">
        <v>936</v>
      </c>
      <c r="G40" s="52"/>
      <c r="H40" s="52"/>
      <c r="I40" s="52"/>
      <c r="J40" s="52">
        <v>1300</v>
      </c>
      <c r="K40" s="52">
        <v>650</v>
      </c>
      <c r="L40" s="52">
        <v>936</v>
      </c>
      <c r="M40" s="52">
        <v>676</v>
      </c>
      <c r="N40" s="52">
        <f t="shared" si="2"/>
        <v>9048</v>
      </c>
      <c r="O40" s="44">
        <f t="shared" si="3"/>
        <v>1.0604544600560395E-2</v>
      </c>
    </row>
    <row r="41" spans="1:15" s="54" customFormat="1" ht="16.8" x14ac:dyDescent="0.4">
      <c r="A41" s="42" t="s">
        <v>167</v>
      </c>
      <c r="B41" s="52"/>
      <c r="C41" s="52"/>
      <c r="D41" s="52"/>
      <c r="E41" s="52"/>
      <c r="F41" s="52">
        <v>420</v>
      </c>
      <c r="G41" s="52">
        <v>665</v>
      </c>
      <c r="H41" s="52">
        <v>1575</v>
      </c>
      <c r="I41" s="52">
        <v>1155</v>
      </c>
      <c r="J41" s="52">
        <v>490</v>
      </c>
      <c r="K41" s="52"/>
      <c r="L41" s="52"/>
      <c r="M41" s="52"/>
      <c r="N41" s="52">
        <f t="shared" si="2"/>
        <v>4305</v>
      </c>
      <c r="O41" s="44">
        <f t="shared" si="3"/>
        <v>5.0455973149218063E-3</v>
      </c>
    </row>
    <row r="42" spans="1:15" s="54" customFormat="1" ht="16.8" x14ac:dyDescent="0.4">
      <c r="A42" s="42" t="s">
        <v>191</v>
      </c>
      <c r="B42" s="52">
        <v>264</v>
      </c>
      <c r="C42" s="52">
        <v>363</v>
      </c>
      <c r="D42" s="52">
        <v>627</v>
      </c>
      <c r="E42" s="52">
        <v>528</v>
      </c>
      <c r="F42" s="52">
        <v>330</v>
      </c>
      <c r="G42" s="52"/>
      <c r="H42" s="52"/>
      <c r="I42" s="52"/>
      <c r="J42" s="52">
        <v>627</v>
      </c>
      <c r="K42" s="52">
        <v>528</v>
      </c>
      <c r="L42" s="52">
        <v>528</v>
      </c>
      <c r="M42" s="52">
        <v>462</v>
      </c>
      <c r="N42" s="52">
        <f t="shared" si="2"/>
        <v>4257</v>
      </c>
      <c r="O42" s="44">
        <f t="shared" si="3"/>
        <v>4.9893397838843504E-3</v>
      </c>
    </row>
    <row r="43" spans="1:15" s="54" customFormat="1" ht="16.8" x14ac:dyDescent="0.4">
      <c r="A43" s="42" t="s">
        <v>168</v>
      </c>
      <c r="B43" s="52"/>
      <c r="C43" s="52"/>
      <c r="D43" s="52"/>
      <c r="E43" s="52"/>
      <c r="F43" s="52">
        <v>172</v>
      </c>
      <c r="G43" s="52">
        <v>430</v>
      </c>
      <c r="H43" s="52">
        <v>559</v>
      </c>
      <c r="I43" s="52">
        <v>903</v>
      </c>
      <c r="J43" s="52">
        <v>172</v>
      </c>
      <c r="K43" s="52"/>
      <c r="L43" s="52"/>
      <c r="M43" s="52"/>
      <c r="N43" s="52">
        <f t="shared" si="2"/>
        <v>2236</v>
      </c>
      <c r="O43" s="44">
        <f t="shared" si="3"/>
        <v>2.6206633208281436E-3</v>
      </c>
    </row>
    <row r="44" spans="1:15" s="54" customFormat="1" ht="16.8" x14ac:dyDescent="0.4">
      <c r="A44" s="42" t="s">
        <v>192</v>
      </c>
      <c r="B44" s="52">
        <v>164</v>
      </c>
      <c r="C44" s="52">
        <v>123</v>
      </c>
      <c r="D44" s="52">
        <v>246</v>
      </c>
      <c r="E44" s="52">
        <v>287</v>
      </c>
      <c r="F44" s="52">
        <v>164</v>
      </c>
      <c r="G44" s="52"/>
      <c r="H44" s="52"/>
      <c r="I44" s="52"/>
      <c r="J44" s="52">
        <v>123</v>
      </c>
      <c r="K44" s="52">
        <v>246</v>
      </c>
      <c r="L44" s="52">
        <v>164</v>
      </c>
      <c r="M44" s="52">
        <v>492</v>
      </c>
      <c r="N44" s="52">
        <f t="shared" si="2"/>
        <v>2009</v>
      </c>
      <c r="O44" s="44">
        <f t="shared" si="3"/>
        <v>2.3546120802968428E-3</v>
      </c>
    </row>
    <row r="45" spans="1:15" s="54" customFormat="1" ht="16.8" x14ac:dyDescent="0.4">
      <c r="A45" s="42" t="s">
        <v>169</v>
      </c>
      <c r="B45" s="52"/>
      <c r="C45" s="52"/>
      <c r="D45" s="52"/>
      <c r="E45" s="52"/>
      <c r="F45" s="52">
        <v>52</v>
      </c>
      <c r="G45" s="52">
        <v>104</v>
      </c>
      <c r="H45" s="52">
        <v>312</v>
      </c>
      <c r="I45" s="52">
        <v>520</v>
      </c>
      <c r="J45" s="52">
        <v>104</v>
      </c>
      <c r="K45" s="52"/>
      <c r="L45" s="52"/>
      <c r="M45" s="52"/>
      <c r="N45" s="52">
        <f t="shared" si="2"/>
        <v>1092</v>
      </c>
      <c r="O45" s="44">
        <f t="shared" si="3"/>
        <v>1.2798588311021166E-3</v>
      </c>
    </row>
    <row r="46" spans="1:15" s="54" customFormat="1" ht="16.8" x14ac:dyDescent="0.4">
      <c r="A46" s="42" t="s">
        <v>193</v>
      </c>
      <c r="B46" s="52">
        <v>100</v>
      </c>
      <c r="C46" s="52">
        <v>100</v>
      </c>
      <c r="D46" s="52">
        <v>150</v>
      </c>
      <c r="E46" s="52">
        <v>100</v>
      </c>
      <c r="F46" s="52">
        <v>100</v>
      </c>
      <c r="G46" s="52"/>
      <c r="H46" s="52"/>
      <c r="I46" s="52"/>
      <c r="J46" s="52">
        <v>150</v>
      </c>
      <c r="K46" s="52">
        <v>200</v>
      </c>
      <c r="L46" s="52">
        <v>100</v>
      </c>
      <c r="M46" s="52">
        <v>100</v>
      </c>
      <c r="N46" s="52">
        <f t="shared" si="2"/>
        <v>1100</v>
      </c>
      <c r="O46" s="44">
        <f t="shared" si="3"/>
        <v>1.2892350862750261E-3</v>
      </c>
    </row>
    <row r="47" spans="1:15" s="54" customFormat="1" ht="16.8" x14ac:dyDescent="0.4">
      <c r="A47" s="42" t="s">
        <v>170</v>
      </c>
      <c r="B47" s="52"/>
      <c r="C47" s="52"/>
      <c r="D47" s="52"/>
      <c r="E47" s="52"/>
      <c r="F47" s="52"/>
      <c r="G47" s="52">
        <v>61</v>
      </c>
      <c r="H47" s="52">
        <v>305</v>
      </c>
      <c r="I47" s="52">
        <v>122</v>
      </c>
      <c r="J47" s="52">
        <v>61</v>
      </c>
      <c r="K47" s="52"/>
      <c r="L47" s="52"/>
      <c r="M47" s="52"/>
      <c r="N47" s="52">
        <f t="shared" si="2"/>
        <v>549</v>
      </c>
      <c r="O47" s="44">
        <f t="shared" si="3"/>
        <v>6.4344551124089931E-4</v>
      </c>
    </row>
    <row r="48" spans="1:15" s="54" customFormat="1" ht="16.8" x14ac:dyDescent="0.4">
      <c r="A48" s="42" t="s">
        <v>194</v>
      </c>
      <c r="B48" s="52">
        <v>59</v>
      </c>
      <c r="C48" s="52"/>
      <c r="D48" s="52"/>
      <c r="E48" s="52">
        <v>177</v>
      </c>
      <c r="F48" s="52">
        <v>59</v>
      </c>
      <c r="G48" s="52"/>
      <c r="H48" s="52"/>
      <c r="I48" s="52"/>
      <c r="J48" s="52">
        <v>295</v>
      </c>
      <c r="K48" s="52">
        <v>59</v>
      </c>
      <c r="L48" s="52">
        <v>59</v>
      </c>
      <c r="M48" s="52"/>
      <c r="N48" s="52">
        <f t="shared" si="2"/>
        <v>708</v>
      </c>
      <c r="O48" s="44">
        <f t="shared" si="3"/>
        <v>8.2979858280247129E-4</v>
      </c>
    </row>
    <row r="49" spans="1:15" s="54" customFormat="1" ht="16.8" x14ac:dyDescent="0.4">
      <c r="A49" s="42" t="s">
        <v>171</v>
      </c>
      <c r="B49" s="52"/>
      <c r="C49" s="52"/>
      <c r="D49" s="52"/>
      <c r="E49" s="52"/>
      <c r="F49" s="52">
        <v>72</v>
      </c>
      <c r="G49" s="52">
        <v>216</v>
      </c>
      <c r="H49" s="52">
        <v>720</v>
      </c>
      <c r="I49" s="52">
        <v>1008</v>
      </c>
      <c r="J49" s="52">
        <v>360</v>
      </c>
      <c r="K49" s="52"/>
      <c r="L49" s="52"/>
      <c r="M49" s="52"/>
      <c r="N49" s="52">
        <f t="shared" si="2"/>
        <v>2376</v>
      </c>
      <c r="O49" s="44">
        <f t="shared" si="3"/>
        <v>2.7847477863540563E-3</v>
      </c>
    </row>
    <row r="50" spans="1:15" s="54" customFormat="1" ht="16.8" x14ac:dyDescent="0.4">
      <c r="A50" s="42" t="s">
        <v>195</v>
      </c>
      <c r="B50" s="52">
        <v>140</v>
      </c>
      <c r="C50" s="52">
        <v>70</v>
      </c>
      <c r="D50" s="52">
        <v>210</v>
      </c>
      <c r="E50" s="52">
        <v>70</v>
      </c>
      <c r="F50" s="52">
        <v>70</v>
      </c>
      <c r="G50" s="52"/>
      <c r="H50" s="52"/>
      <c r="I50" s="52"/>
      <c r="J50" s="52">
        <v>2030</v>
      </c>
      <c r="K50" s="52">
        <v>350</v>
      </c>
      <c r="L50" s="52">
        <v>910</v>
      </c>
      <c r="M50" s="52"/>
      <c r="N50" s="52">
        <f t="shared" si="2"/>
        <v>3850</v>
      </c>
      <c r="O50" s="44">
        <f t="shared" si="3"/>
        <v>4.512322801962591E-3</v>
      </c>
    </row>
    <row r="51" spans="1:15" s="54" customFormat="1" ht="16.8" x14ac:dyDescent="0.4">
      <c r="A51" s="42" t="s">
        <v>198</v>
      </c>
      <c r="B51" s="52">
        <v>11.4</v>
      </c>
      <c r="C51" s="52">
        <v>10.8</v>
      </c>
      <c r="D51" s="52">
        <v>12</v>
      </c>
      <c r="E51" s="52">
        <v>12</v>
      </c>
      <c r="F51" s="52">
        <v>12</v>
      </c>
      <c r="G51" s="52">
        <v>8.4</v>
      </c>
      <c r="H51" s="52"/>
      <c r="I51" s="52"/>
      <c r="J51" s="52">
        <v>10.199999999999999</v>
      </c>
      <c r="K51" s="52">
        <v>12.6</v>
      </c>
      <c r="L51" s="52">
        <v>11.4</v>
      </c>
      <c r="M51" s="52">
        <v>7.8</v>
      </c>
      <c r="N51" s="52">
        <f t="shared" si="2"/>
        <v>108.60000000000001</v>
      </c>
      <c r="O51" s="44">
        <f t="shared" si="3"/>
        <v>1.272826639722435E-4</v>
      </c>
    </row>
    <row r="52" spans="1:15" ht="16.8" x14ac:dyDescent="0.4">
      <c r="A52" s="5" t="s">
        <v>25</v>
      </c>
      <c r="B52" s="39">
        <f t="shared" ref="B52:M52" si="4">SUM(B4:B51)</f>
        <v>60507.9</v>
      </c>
      <c r="C52" s="39">
        <f t="shared" si="4"/>
        <v>53009.8</v>
      </c>
      <c r="D52" s="39">
        <f t="shared" si="4"/>
        <v>63083</v>
      </c>
      <c r="E52" s="39">
        <f t="shared" si="4"/>
        <v>67071</v>
      </c>
      <c r="F52" s="39">
        <f t="shared" si="4"/>
        <v>80098</v>
      </c>
      <c r="G52" s="39">
        <f t="shared" si="4"/>
        <v>83890.9</v>
      </c>
      <c r="H52" s="39">
        <f t="shared" si="4"/>
        <v>106727</v>
      </c>
      <c r="I52" s="39">
        <f t="shared" si="4"/>
        <v>104544.5</v>
      </c>
      <c r="J52" s="39">
        <f t="shared" si="4"/>
        <v>79874.7</v>
      </c>
      <c r="K52" s="39">
        <f t="shared" si="4"/>
        <v>40705.1</v>
      </c>
      <c r="L52" s="39">
        <f t="shared" si="4"/>
        <v>56777.9</v>
      </c>
      <c r="M52" s="39">
        <f t="shared" si="4"/>
        <v>56929.3</v>
      </c>
      <c r="N52" s="9">
        <f t="shared" si="2"/>
        <v>853219.1</v>
      </c>
      <c r="O52" s="10">
        <f t="shared" si="3"/>
        <v>1</v>
      </c>
    </row>
    <row r="53" spans="1:15" ht="16.8" x14ac:dyDescent="0.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6.8" x14ac:dyDescent="0.4">
      <c r="A56" s="4" t="s">
        <v>148</v>
      </c>
      <c r="B56" s="39">
        <f t="shared" ref="B56:N56" si="5">+B4+B5+B6+B7+B9+B10+B16+B17+B18+B21+B19+B20+B22+B27+B28+B23+B24+B33+B34+B35+B36+B37+B38+B39+B40+B41+B42+B43+B44+B45+B46+B47+B48+B49+B50+B51</f>
        <v>49816.9</v>
      </c>
      <c r="C56" s="39">
        <f t="shared" si="5"/>
        <v>44106.8</v>
      </c>
      <c r="D56" s="39">
        <f t="shared" si="5"/>
        <v>51544</v>
      </c>
      <c r="E56" s="39">
        <f t="shared" si="5"/>
        <v>56010</v>
      </c>
      <c r="F56" s="39">
        <f t="shared" si="5"/>
        <v>63890</v>
      </c>
      <c r="G56" s="39">
        <f t="shared" si="5"/>
        <v>65453.4</v>
      </c>
      <c r="H56" s="39">
        <f t="shared" si="5"/>
        <v>79479.5</v>
      </c>
      <c r="I56" s="39">
        <f t="shared" si="5"/>
        <v>78051.5</v>
      </c>
      <c r="J56" s="39">
        <f t="shared" si="5"/>
        <v>64372.2</v>
      </c>
      <c r="K56" s="39">
        <f t="shared" si="5"/>
        <v>27721.1</v>
      </c>
      <c r="L56" s="39">
        <f t="shared" si="5"/>
        <v>47420.9</v>
      </c>
      <c r="M56" s="39">
        <f t="shared" si="5"/>
        <v>47381.3</v>
      </c>
      <c r="N56" s="39">
        <f t="shared" si="5"/>
        <v>675247.6</v>
      </c>
      <c r="O56" s="4"/>
    </row>
    <row r="57" spans="1:15" s="56" customFormat="1" ht="16.8" x14ac:dyDescent="0.4">
      <c r="A57" s="55" t="s">
        <v>149</v>
      </c>
      <c r="B57" s="50">
        <f t="shared" ref="B57:N57" si="6">+B8+B11+B12+B13+B14+B15+B30+B31+B25+B26+B29</f>
        <v>10691</v>
      </c>
      <c r="C57" s="50">
        <f t="shared" si="6"/>
        <v>8903</v>
      </c>
      <c r="D57" s="50">
        <f t="shared" si="6"/>
        <v>11539</v>
      </c>
      <c r="E57" s="50">
        <f t="shared" si="6"/>
        <v>11061</v>
      </c>
      <c r="F57" s="50">
        <f t="shared" si="6"/>
        <v>16208</v>
      </c>
      <c r="G57" s="50">
        <f t="shared" si="6"/>
        <v>18437.5</v>
      </c>
      <c r="H57" s="50">
        <f t="shared" si="6"/>
        <v>27247.5</v>
      </c>
      <c r="I57" s="50">
        <f t="shared" si="6"/>
        <v>26493</v>
      </c>
      <c r="J57" s="50">
        <f t="shared" si="6"/>
        <v>15502.5</v>
      </c>
      <c r="K57" s="50">
        <f t="shared" si="6"/>
        <v>12984</v>
      </c>
      <c r="L57" s="50">
        <f t="shared" si="6"/>
        <v>9357</v>
      </c>
      <c r="M57" s="50">
        <f t="shared" si="6"/>
        <v>9548</v>
      </c>
      <c r="N57" s="50">
        <f t="shared" si="6"/>
        <v>177971.5</v>
      </c>
      <c r="O57" s="50"/>
    </row>
    <row r="58" spans="1:15" s="46" customFormat="1" ht="17.399999999999999" thickBot="1" x14ac:dyDescent="0.45">
      <c r="A58" s="48" t="s">
        <v>143</v>
      </c>
      <c r="B58" s="47">
        <f t="shared" ref="B58:N58" si="7">SUM(B56:B57)</f>
        <v>60507.9</v>
      </c>
      <c r="C58" s="47">
        <f t="shared" si="7"/>
        <v>53009.8</v>
      </c>
      <c r="D58" s="47">
        <f t="shared" si="7"/>
        <v>63083</v>
      </c>
      <c r="E58" s="47">
        <f t="shared" si="7"/>
        <v>67071</v>
      </c>
      <c r="F58" s="47">
        <f t="shared" si="7"/>
        <v>80098</v>
      </c>
      <c r="G58" s="47">
        <f t="shared" si="7"/>
        <v>83890.9</v>
      </c>
      <c r="H58" s="47">
        <f t="shared" si="7"/>
        <v>106727</v>
      </c>
      <c r="I58" s="47">
        <f t="shared" si="7"/>
        <v>104544.5</v>
      </c>
      <c r="J58" s="47">
        <f t="shared" si="7"/>
        <v>79874.7</v>
      </c>
      <c r="K58" s="47">
        <f t="shared" si="7"/>
        <v>40705.1</v>
      </c>
      <c r="L58" s="47">
        <f t="shared" si="7"/>
        <v>56777.9</v>
      </c>
      <c r="M58" s="47">
        <f t="shared" si="7"/>
        <v>56929.3</v>
      </c>
      <c r="N58" s="47">
        <f t="shared" si="7"/>
        <v>853219.1</v>
      </c>
      <c r="O58" s="48"/>
    </row>
    <row r="59" spans="1:15" ht="17.399999999999999" thickTop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/>
      <c r="B60" s="39">
        <f t="shared" ref="B60:M60" si="8">+B58-B52</f>
        <v>0</v>
      </c>
      <c r="C60" s="39">
        <f t="shared" si="8"/>
        <v>0</v>
      </c>
      <c r="D60" s="39">
        <f t="shared" si="8"/>
        <v>0</v>
      </c>
      <c r="E60" s="39">
        <f t="shared" si="8"/>
        <v>0</v>
      </c>
      <c r="F60" s="39">
        <f t="shared" si="8"/>
        <v>0</v>
      </c>
      <c r="G60" s="39">
        <f t="shared" si="8"/>
        <v>0</v>
      </c>
      <c r="H60" s="39">
        <f t="shared" si="8"/>
        <v>0</v>
      </c>
      <c r="I60" s="39">
        <f t="shared" si="8"/>
        <v>0</v>
      </c>
      <c r="J60" s="39">
        <f t="shared" si="8"/>
        <v>0</v>
      </c>
      <c r="K60" s="39">
        <f t="shared" si="8"/>
        <v>0</v>
      </c>
      <c r="L60" s="39">
        <f t="shared" si="8"/>
        <v>0</v>
      </c>
      <c r="M60" s="39">
        <f t="shared" si="8"/>
        <v>0</v>
      </c>
      <c r="N60" s="4"/>
      <c r="O60" s="4"/>
    </row>
    <row r="65" spans="1:14" ht="16.2" x14ac:dyDescent="0.25">
      <c r="A65" s="60" t="s">
        <v>204</v>
      </c>
      <c r="B65" s="61">
        <f>+B4+B6+B5+B7+B9+B10</f>
        <v>20661</v>
      </c>
      <c r="C65" s="61">
        <f t="shared" ref="C65:M65" si="9">+C4+C6+C5+C7+C9+C10</f>
        <v>17616</v>
      </c>
      <c r="D65" s="61">
        <f t="shared" si="9"/>
        <v>20442</v>
      </c>
      <c r="E65" s="61">
        <f t="shared" si="9"/>
        <v>22731</v>
      </c>
      <c r="F65" s="61">
        <f t="shared" si="9"/>
        <v>26229</v>
      </c>
      <c r="G65" s="61">
        <f t="shared" si="9"/>
        <v>28773</v>
      </c>
      <c r="H65" s="61">
        <f t="shared" si="9"/>
        <v>27597</v>
      </c>
      <c r="I65" s="61">
        <f t="shared" si="9"/>
        <v>25146</v>
      </c>
      <c r="J65" s="61">
        <f t="shared" si="9"/>
        <v>19848</v>
      </c>
      <c r="K65" s="61">
        <f t="shared" si="9"/>
        <v>11103</v>
      </c>
      <c r="L65" s="61">
        <f t="shared" si="9"/>
        <v>16479</v>
      </c>
      <c r="M65" s="61">
        <f t="shared" si="9"/>
        <v>15876</v>
      </c>
      <c r="N65" s="61">
        <f>SUM(B65:M65)</f>
        <v>252501</v>
      </c>
    </row>
    <row r="66" spans="1:14" ht="16.2" x14ac:dyDescent="0.25">
      <c r="A66" s="60" t="s">
        <v>205</v>
      </c>
      <c r="B66" s="61">
        <f>+B16+B17+B23+B24</f>
        <v>21020</v>
      </c>
      <c r="C66" s="61">
        <f t="shared" ref="C66:M66" si="10">+C16+C17+C23+C24</f>
        <v>20407</v>
      </c>
      <c r="D66" s="61">
        <f t="shared" si="10"/>
        <v>23154</v>
      </c>
      <c r="E66" s="61">
        <f t="shared" si="10"/>
        <v>25369</v>
      </c>
      <c r="F66" s="61">
        <f t="shared" si="10"/>
        <v>29172</v>
      </c>
      <c r="G66" s="61">
        <f t="shared" si="10"/>
        <v>25897.5</v>
      </c>
      <c r="H66" s="61">
        <f t="shared" si="10"/>
        <v>38088</v>
      </c>
      <c r="I66" s="61">
        <f t="shared" si="10"/>
        <v>35797.5</v>
      </c>
      <c r="J66" s="61">
        <f t="shared" si="10"/>
        <v>26436.5</v>
      </c>
      <c r="K66" s="61">
        <f t="shared" si="10"/>
        <v>11543</v>
      </c>
      <c r="L66" s="61">
        <f t="shared" si="10"/>
        <v>21678</v>
      </c>
      <c r="M66" s="61">
        <f t="shared" si="10"/>
        <v>24787</v>
      </c>
      <c r="N66" s="61">
        <f t="shared" ref="N66:N71" si="11">SUM(B66:M66)</f>
        <v>303349.5</v>
      </c>
    </row>
    <row r="67" spans="1:14" ht="16.2" x14ac:dyDescent="0.25">
      <c r="A67" s="60" t="s">
        <v>206</v>
      </c>
      <c r="B67" s="61">
        <f>+B19+B20+B27+B28</f>
        <v>115</v>
      </c>
      <c r="C67" s="61">
        <f t="shared" ref="C67:M67" si="12">+C19+C20+C27+C28</f>
        <v>196</v>
      </c>
      <c r="D67" s="61">
        <f t="shared" si="12"/>
        <v>278</v>
      </c>
      <c r="E67" s="61">
        <f t="shared" si="12"/>
        <v>199</v>
      </c>
      <c r="F67" s="61">
        <f t="shared" si="12"/>
        <v>275</v>
      </c>
      <c r="G67" s="61">
        <f t="shared" si="12"/>
        <v>355.5</v>
      </c>
      <c r="H67" s="61">
        <f t="shared" si="12"/>
        <v>589.5</v>
      </c>
      <c r="I67" s="61">
        <f t="shared" si="12"/>
        <v>480</v>
      </c>
      <c r="J67" s="61">
        <f t="shared" si="12"/>
        <v>309</v>
      </c>
      <c r="K67" s="61">
        <f t="shared" si="12"/>
        <v>116</v>
      </c>
      <c r="L67" s="61">
        <f t="shared" si="12"/>
        <v>40</v>
      </c>
      <c r="M67" s="61">
        <f t="shared" si="12"/>
        <v>44</v>
      </c>
      <c r="N67" s="61">
        <f t="shared" si="11"/>
        <v>2997</v>
      </c>
    </row>
    <row r="68" spans="1:14" ht="16.2" x14ac:dyDescent="0.25">
      <c r="A68" s="60" t="s">
        <v>207</v>
      </c>
      <c r="B68" s="61">
        <f>+B33+B34+B35+B36+B37+B38+B39+B40+B41+B42+B43+B44+B45+B46+B47+B48+B49+B50</f>
        <v>7590</v>
      </c>
      <c r="C68" s="61">
        <f t="shared" ref="C68:M68" si="13">+C33+C34+C35+C36+C37+C38+C39+C40+C41+C42+C43+C44+C45+C46+C47+C48+C49+C50</f>
        <v>5778</v>
      </c>
      <c r="D68" s="61">
        <f t="shared" si="13"/>
        <v>7544</v>
      </c>
      <c r="E68" s="61">
        <f t="shared" si="13"/>
        <v>7581</v>
      </c>
      <c r="F68" s="61">
        <f t="shared" si="13"/>
        <v>7773</v>
      </c>
      <c r="G68" s="61">
        <f t="shared" si="13"/>
        <v>9699</v>
      </c>
      <c r="H68" s="61">
        <f t="shared" si="13"/>
        <v>13079</v>
      </c>
      <c r="I68" s="61">
        <f t="shared" si="13"/>
        <v>16380</v>
      </c>
      <c r="J68" s="61">
        <f t="shared" si="13"/>
        <v>15800</v>
      </c>
      <c r="K68" s="61">
        <f t="shared" si="13"/>
        <v>4823</v>
      </c>
      <c r="L68" s="61">
        <f t="shared" si="13"/>
        <v>8406</v>
      </c>
      <c r="M68" s="61">
        <f t="shared" si="13"/>
        <v>6595</v>
      </c>
      <c r="N68" s="61">
        <f t="shared" si="11"/>
        <v>111048</v>
      </c>
    </row>
    <row r="69" spans="1:14" ht="16.2" x14ac:dyDescent="0.25">
      <c r="A69" s="60" t="s">
        <v>208</v>
      </c>
      <c r="B69" s="61">
        <f>+B8+B13+B29</f>
        <v>4763</v>
      </c>
      <c r="C69" s="61">
        <f t="shared" ref="C69:M69" si="14">+C8+C13+C29</f>
        <v>3525</v>
      </c>
      <c r="D69" s="61">
        <f t="shared" si="14"/>
        <v>4977</v>
      </c>
      <c r="E69" s="61">
        <f t="shared" si="14"/>
        <v>4287</v>
      </c>
      <c r="F69" s="61">
        <f t="shared" si="14"/>
        <v>6239</v>
      </c>
      <c r="G69" s="61">
        <f t="shared" si="14"/>
        <v>6952</v>
      </c>
      <c r="H69" s="61">
        <f t="shared" si="14"/>
        <v>6348</v>
      </c>
      <c r="I69" s="61">
        <f t="shared" si="14"/>
        <v>7577</v>
      </c>
      <c r="J69" s="61">
        <f t="shared" si="14"/>
        <v>4745</v>
      </c>
      <c r="K69" s="61">
        <f t="shared" si="14"/>
        <v>4903</v>
      </c>
      <c r="L69" s="61">
        <f t="shared" si="14"/>
        <v>3475</v>
      </c>
      <c r="M69" s="61">
        <f t="shared" si="14"/>
        <v>2702</v>
      </c>
      <c r="N69" s="61">
        <f t="shared" si="11"/>
        <v>60493</v>
      </c>
    </row>
    <row r="70" spans="1:14" ht="16.2" x14ac:dyDescent="0.25">
      <c r="A70" s="60" t="s">
        <v>209</v>
      </c>
      <c r="B70" s="61">
        <f>+B14+B15+B25+B26</f>
        <v>5691</v>
      </c>
      <c r="C70" s="61">
        <f t="shared" ref="C70:M70" si="15">+C14+C15+C25+C26</f>
        <v>5208</v>
      </c>
      <c r="D70" s="61">
        <f t="shared" si="15"/>
        <v>6288</v>
      </c>
      <c r="E70" s="61">
        <f t="shared" si="15"/>
        <v>6448</v>
      </c>
      <c r="F70" s="61">
        <f t="shared" si="15"/>
        <v>9433</v>
      </c>
      <c r="G70" s="61">
        <f t="shared" si="15"/>
        <v>10698.5</v>
      </c>
      <c r="H70" s="61">
        <f t="shared" si="15"/>
        <v>19192.5</v>
      </c>
      <c r="I70" s="61">
        <f t="shared" si="15"/>
        <v>17421</v>
      </c>
      <c r="J70" s="61">
        <f t="shared" si="15"/>
        <v>10018.5</v>
      </c>
      <c r="K70" s="61">
        <f t="shared" si="15"/>
        <v>7654</v>
      </c>
      <c r="L70" s="61">
        <f t="shared" si="15"/>
        <v>5739</v>
      </c>
      <c r="M70" s="61">
        <f t="shared" si="15"/>
        <v>6689</v>
      </c>
      <c r="N70" s="61">
        <f t="shared" si="11"/>
        <v>110480.5</v>
      </c>
    </row>
    <row r="71" spans="1:14" ht="16.2" x14ac:dyDescent="0.25">
      <c r="A71" s="60" t="s">
        <v>210</v>
      </c>
      <c r="B71" s="61">
        <f>+B11+B12+B31+B30</f>
        <v>237</v>
      </c>
      <c r="C71" s="61">
        <f t="shared" ref="C71:M71" si="16">+C11+C12+C31+C30</f>
        <v>170</v>
      </c>
      <c r="D71" s="61">
        <f t="shared" si="16"/>
        <v>274</v>
      </c>
      <c r="E71" s="61">
        <f t="shared" si="16"/>
        <v>326</v>
      </c>
      <c r="F71" s="61">
        <f t="shared" si="16"/>
        <v>536</v>
      </c>
      <c r="G71" s="61">
        <f t="shared" si="16"/>
        <v>787</v>
      </c>
      <c r="H71" s="61">
        <f t="shared" si="16"/>
        <v>1707</v>
      </c>
      <c r="I71" s="61">
        <f t="shared" si="16"/>
        <v>1495</v>
      </c>
      <c r="J71" s="61">
        <f t="shared" si="16"/>
        <v>739</v>
      </c>
      <c r="K71" s="61">
        <f t="shared" si="16"/>
        <v>427</v>
      </c>
      <c r="L71" s="61">
        <f t="shared" si="16"/>
        <v>143</v>
      </c>
      <c r="M71" s="61">
        <f t="shared" si="16"/>
        <v>157</v>
      </c>
      <c r="N71" s="61">
        <f t="shared" si="11"/>
        <v>6998</v>
      </c>
    </row>
  </sheetData>
  <phoneticPr fontId="14" type="noConversion"/>
  <printOptions horizontalCentered="1" verticalCentered="1"/>
  <pageMargins left="0.4" right="0.4" top="0.7" bottom="0.7" header="0.5" footer="0.5"/>
  <pageSetup scale="5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zoomScale="75" workbookViewId="0">
      <pane xSplit="1" ySplit="3" topLeftCell="B32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33203125" defaultRowHeight="15" x14ac:dyDescent="0.25"/>
  <cols>
    <col min="1" max="1" width="29.08203125" bestFit="1" customWidth="1"/>
    <col min="2" max="13" width="8.33203125" customWidth="1"/>
    <col min="14" max="14" width="10.08203125" customWidth="1"/>
  </cols>
  <sheetData>
    <row r="1" spans="1:15" ht="18.600000000000001" x14ac:dyDescent="0.45">
      <c r="A1" s="3" t="s">
        <v>174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177</v>
      </c>
      <c r="B4" s="43">
        <v>12411</v>
      </c>
      <c r="C4" s="43">
        <v>8127</v>
      </c>
      <c r="D4" s="43">
        <v>9702</v>
      </c>
      <c r="E4" s="43">
        <v>5796</v>
      </c>
      <c r="F4" s="43">
        <v>15750</v>
      </c>
      <c r="G4" s="43">
        <v>13356</v>
      </c>
      <c r="H4" s="43">
        <v>14238</v>
      </c>
      <c r="I4" s="43">
        <v>14427</v>
      </c>
      <c r="J4" s="43">
        <v>11592</v>
      </c>
      <c r="K4" s="43">
        <v>9009</v>
      </c>
      <c r="L4" s="43">
        <v>11151</v>
      </c>
      <c r="M4" s="43">
        <v>12222</v>
      </c>
      <c r="N4" s="43">
        <f t="shared" ref="N4:N52" si="0">SUM(B4:M4)</f>
        <v>137781</v>
      </c>
      <c r="O4" s="44">
        <f t="shared" ref="O4:O52" si="1">N4/$N$52</f>
        <v>0.15510886248547484</v>
      </c>
    </row>
    <row r="5" spans="1:15" s="54" customFormat="1" ht="16.8" x14ac:dyDescent="0.4">
      <c r="A5" s="42" t="s">
        <v>108</v>
      </c>
      <c r="B5" s="51">
        <v>72</v>
      </c>
      <c r="C5" s="51">
        <v>72</v>
      </c>
      <c r="D5" s="51">
        <v>72</v>
      </c>
      <c r="E5" s="51">
        <v>108</v>
      </c>
      <c r="F5" s="51">
        <v>324</v>
      </c>
      <c r="G5" s="51">
        <v>108</v>
      </c>
      <c r="H5" s="51">
        <v>252</v>
      </c>
      <c r="I5" s="51">
        <v>288</v>
      </c>
      <c r="J5" s="51">
        <v>180</v>
      </c>
      <c r="K5" s="51">
        <v>72</v>
      </c>
      <c r="L5" s="51"/>
      <c r="M5" s="51"/>
      <c r="N5" s="52">
        <f t="shared" si="0"/>
        <v>1548</v>
      </c>
      <c r="O5" s="44">
        <f t="shared" si="1"/>
        <v>1.742682366418556E-3</v>
      </c>
    </row>
    <row r="6" spans="1:15" s="54" customFormat="1" ht="16.8" x14ac:dyDescent="0.4">
      <c r="A6" s="42" t="s">
        <v>154</v>
      </c>
      <c r="B6" s="51">
        <v>8748</v>
      </c>
      <c r="C6" s="51">
        <v>4860</v>
      </c>
      <c r="D6" s="51">
        <v>7182</v>
      </c>
      <c r="E6" s="51">
        <v>5454</v>
      </c>
      <c r="F6" s="51">
        <v>11016</v>
      </c>
      <c r="G6" s="51">
        <v>8694</v>
      </c>
      <c r="H6" s="51">
        <v>10638</v>
      </c>
      <c r="I6" s="51">
        <v>9234</v>
      </c>
      <c r="J6" s="51">
        <v>8154</v>
      </c>
      <c r="K6" s="51">
        <v>7668</v>
      </c>
      <c r="L6" s="51">
        <v>7722</v>
      </c>
      <c r="M6" s="51">
        <v>7884</v>
      </c>
      <c r="N6" s="52">
        <f t="shared" si="0"/>
        <v>97254</v>
      </c>
      <c r="O6" s="44">
        <f t="shared" si="1"/>
        <v>0.10948503285766811</v>
      </c>
    </row>
    <row r="7" spans="1:15" s="54" customFormat="1" ht="16.8" x14ac:dyDescent="0.4">
      <c r="A7" s="42" t="s">
        <v>197</v>
      </c>
      <c r="B7" s="51">
        <v>81</v>
      </c>
      <c r="C7" s="51"/>
      <c r="D7" s="51"/>
      <c r="E7" s="51">
        <v>27</v>
      </c>
      <c r="F7" s="51">
        <v>108</v>
      </c>
      <c r="G7" s="51">
        <v>108</v>
      </c>
      <c r="H7" s="51">
        <v>108</v>
      </c>
      <c r="I7" s="51">
        <v>54</v>
      </c>
      <c r="J7" s="51">
        <v>27</v>
      </c>
      <c r="K7" s="51">
        <v>54</v>
      </c>
      <c r="L7" s="51"/>
      <c r="M7" s="51"/>
      <c r="N7" s="52">
        <f t="shared" si="0"/>
        <v>567</v>
      </c>
      <c r="O7" s="44">
        <f t="shared" si="1"/>
        <v>6.3830807607191296E-4</v>
      </c>
    </row>
    <row r="8" spans="1:15" s="54" customFormat="1" ht="16.8" x14ac:dyDescent="0.4">
      <c r="A8" s="42" t="s">
        <v>178</v>
      </c>
      <c r="B8" s="52">
        <v>370</v>
      </c>
      <c r="C8" s="52">
        <v>148</v>
      </c>
      <c r="D8" s="52">
        <v>518</v>
      </c>
      <c r="E8" s="52">
        <v>370</v>
      </c>
      <c r="F8" s="52">
        <v>444</v>
      </c>
      <c r="G8" s="52">
        <v>481</v>
      </c>
      <c r="H8" s="52">
        <v>407</v>
      </c>
      <c r="I8" s="52">
        <v>333</v>
      </c>
      <c r="J8" s="52">
        <v>296</v>
      </c>
      <c r="K8" s="52">
        <v>444</v>
      </c>
      <c r="L8" s="52">
        <v>185</v>
      </c>
      <c r="M8" s="52">
        <v>407</v>
      </c>
      <c r="N8" s="52">
        <f t="shared" si="0"/>
        <v>4403</v>
      </c>
      <c r="O8" s="44">
        <f t="shared" si="1"/>
        <v>4.9567380228300404E-3</v>
      </c>
    </row>
    <row r="9" spans="1:15" s="54" customFormat="1" ht="16.8" x14ac:dyDescent="0.4">
      <c r="A9" s="42" t="s">
        <v>176</v>
      </c>
      <c r="B9" s="52">
        <v>2709</v>
      </c>
      <c r="C9" s="52">
        <v>2064</v>
      </c>
      <c r="D9" s="52">
        <v>2451</v>
      </c>
      <c r="E9" s="52">
        <v>903</v>
      </c>
      <c r="F9" s="52">
        <v>1935</v>
      </c>
      <c r="G9" s="52">
        <v>2193</v>
      </c>
      <c r="H9" s="52">
        <v>1419</v>
      </c>
      <c r="I9" s="52">
        <v>1290</v>
      </c>
      <c r="J9" s="52">
        <v>1419</v>
      </c>
      <c r="K9" s="52">
        <v>1935</v>
      </c>
      <c r="L9" s="52">
        <v>1032</v>
      </c>
      <c r="M9" s="52">
        <v>1161</v>
      </c>
      <c r="N9" s="52">
        <f t="shared" si="0"/>
        <v>20511</v>
      </c>
      <c r="O9" s="44">
        <f t="shared" si="1"/>
        <v>2.3090541355045867E-2</v>
      </c>
    </row>
    <row r="10" spans="1:15" s="54" customFormat="1" ht="16.8" x14ac:dyDescent="0.4">
      <c r="A10" s="42" t="s">
        <v>175</v>
      </c>
      <c r="B10" s="52"/>
      <c r="C10" s="52"/>
      <c r="D10" s="52"/>
      <c r="E10" s="52"/>
      <c r="F10" s="52">
        <v>74</v>
      </c>
      <c r="G10" s="52"/>
      <c r="H10" s="52">
        <v>74</v>
      </c>
      <c r="I10" s="52"/>
      <c r="J10" s="52"/>
      <c r="K10" s="52"/>
      <c r="L10" s="52"/>
      <c r="M10" s="52"/>
      <c r="N10" s="52">
        <f t="shared" si="0"/>
        <v>148</v>
      </c>
      <c r="O10" s="44">
        <f t="shared" si="1"/>
        <v>1.6661304278420302E-4</v>
      </c>
    </row>
    <row r="11" spans="1:15" s="54" customFormat="1" ht="16.8" x14ac:dyDescent="0.4">
      <c r="A11" s="42" t="s">
        <v>156</v>
      </c>
      <c r="B11" s="52"/>
      <c r="C11" s="52"/>
      <c r="D11" s="52"/>
      <c r="E11" s="52"/>
      <c r="F11" s="52">
        <v>344</v>
      </c>
      <c r="G11" s="52">
        <v>856</v>
      </c>
      <c r="H11" s="52">
        <v>1164</v>
      </c>
      <c r="I11" s="52">
        <v>1260</v>
      </c>
      <c r="J11" s="52">
        <v>288</v>
      </c>
      <c r="K11" s="52"/>
      <c r="L11" s="52"/>
      <c r="M11" s="52"/>
      <c r="N11" s="52">
        <f t="shared" si="0"/>
        <v>3912</v>
      </c>
      <c r="O11" s="44">
        <f t="shared" si="1"/>
        <v>4.4039879957554207E-3</v>
      </c>
    </row>
    <row r="12" spans="1:15" s="54" customFormat="1" ht="16.8" x14ac:dyDescent="0.4">
      <c r="A12" s="42" t="s">
        <v>184</v>
      </c>
      <c r="B12" s="52">
        <v>171</v>
      </c>
      <c r="C12" s="52">
        <v>171</v>
      </c>
      <c r="D12" s="52">
        <v>156</v>
      </c>
      <c r="E12" s="52">
        <v>498</v>
      </c>
      <c r="F12" s="52">
        <v>225</v>
      </c>
      <c r="G12" s="52"/>
      <c r="H12" s="52"/>
      <c r="I12" s="52"/>
      <c r="J12" s="52">
        <v>480</v>
      </c>
      <c r="K12" s="52">
        <v>234</v>
      </c>
      <c r="L12" s="52">
        <v>117</v>
      </c>
      <c r="M12" s="52">
        <v>75</v>
      </c>
      <c r="N12" s="52">
        <f t="shared" si="0"/>
        <v>2127</v>
      </c>
      <c r="O12" s="44">
        <f t="shared" si="1"/>
        <v>2.3944996081216204E-3</v>
      </c>
    </row>
    <row r="13" spans="1:15" s="54" customFormat="1" ht="16.8" x14ac:dyDescent="0.4">
      <c r="A13" s="42" t="s">
        <v>111</v>
      </c>
      <c r="B13" s="52">
        <v>3690</v>
      </c>
      <c r="C13" s="52">
        <v>2385</v>
      </c>
      <c r="D13" s="52">
        <v>2880</v>
      </c>
      <c r="E13" s="52">
        <v>3780</v>
      </c>
      <c r="F13" s="52">
        <v>5670</v>
      </c>
      <c r="G13" s="52">
        <v>4725</v>
      </c>
      <c r="H13" s="52">
        <v>4815</v>
      </c>
      <c r="I13" s="52">
        <v>4005</v>
      </c>
      <c r="J13" s="52">
        <v>3600</v>
      </c>
      <c r="K13" s="52">
        <v>2880</v>
      </c>
      <c r="L13" s="52">
        <v>2835</v>
      </c>
      <c r="M13" s="52">
        <v>2565</v>
      </c>
      <c r="N13" s="52">
        <f t="shared" si="0"/>
        <v>43830</v>
      </c>
      <c r="O13" s="44">
        <f t="shared" si="1"/>
        <v>4.9342227467781205E-2</v>
      </c>
    </row>
    <row r="14" spans="1:15" s="54" customFormat="1" ht="16.8" x14ac:dyDescent="0.4">
      <c r="A14" s="42" t="s">
        <v>157</v>
      </c>
      <c r="B14" s="52"/>
      <c r="C14" s="52"/>
      <c r="D14" s="52"/>
      <c r="E14" s="52"/>
      <c r="F14" s="52">
        <v>4998</v>
      </c>
      <c r="G14" s="52">
        <v>10935</v>
      </c>
      <c r="H14" s="52">
        <v>16635</v>
      </c>
      <c r="I14" s="52">
        <v>14523</v>
      </c>
      <c r="J14" s="52">
        <v>4029</v>
      </c>
      <c r="K14" s="52"/>
      <c r="L14" s="52"/>
      <c r="M14" s="52"/>
      <c r="N14" s="52">
        <f t="shared" si="0"/>
        <v>51120</v>
      </c>
      <c r="O14" s="44">
        <f t="shared" si="1"/>
        <v>5.7549045588705799E-2</v>
      </c>
    </row>
    <row r="15" spans="1:15" s="54" customFormat="1" ht="16.8" x14ac:dyDescent="0.4">
      <c r="A15" s="42" t="s">
        <v>180</v>
      </c>
      <c r="B15" s="52">
        <v>4278</v>
      </c>
      <c r="C15" s="52">
        <v>4560</v>
      </c>
      <c r="D15" s="52">
        <v>5168</v>
      </c>
      <c r="E15" s="52">
        <v>7236</v>
      </c>
      <c r="F15" s="52">
        <v>3786</v>
      </c>
      <c r="G15" s="52"/>
      <c r="H15" s="52"/>
      <c r="I15" s="52"/>
      <c r="J15" s="52">
        <v>4460</v>
      </c>
      <c r="K15" s="52">
        <v>5486</v>
      </c>
      <c r="L15" s="52">
        <v>4688</v>
      </c>
      <c r="M15" s="52">
        <v>4772</v>
      </c>
      <c r="N15" s="52">
        <f t="shared" si="0"/>
        <v>44434</v>
      </c>
      <c r="O15" s="44">
        <f t="shared" si="1"/>
        <v>5.0022188804549172E-2</v>
      </c>
    </row>
    <row r="16" spans="1:15" s="54" customFormat="1" ht="16.8" x14ac:dyDescent="0.4">
      <c r="A16" s="42" t="s">
        <v>113</v>
      </c>
      <c r="B16" s="52"/>
      <c r="C16" s="52"/>
      <c r="D16" s="52"/>
      <c r="E16" s="52"/>
      <c r="F16" s="52">
        <v>12393</v>
      </c>
      <c r="G16" s="52">
        <v>25659</v>
      </c>
      <c r="H16" s="52">
        <v>35217</v>
      </c>
      <c r="I16" s="52">
        <v>33111</v>
      </c>
      <c r="J16" s="52">
        <v>10017</v>
      </c>
      <c r="K16" s="52"/>
      <c r="L16" s="52"/>
      <c r="M16" s="52"/>
      <c r="N16" s="52">
        <f t="shared" si="0"/>
        <v>116397</v>
      </c>
      <c r="O16" s="44">
        <f t="shared" si="1"/>
        <v>0.13103552933076271</v>
      </c>
    </row>
    <row r="17" spans="1:15" s="54" customFormat="1" ht="16.8" x14ac:dyDescent="0.4">
      <c r="A17" s="42" t="s">
        <v>179</v>
      </c>
      <c r="B17" s="52">
        <v>21658</v>
      </c>
      <c r="C17" s="52">
        <v>18998</v>
      </c>
      <c r="D17" s="52">
        <v>21987</v>
      </c>
      <c r="E17" s="52">
        <v>15897</v>
      </c>
      <c r="F17" s="52">
        <v>15351</v>
      </c>
      <c r="G17" s="52">
        <v>-7</v>
      </c>
      <c r="H17" s="52"/>
      <c r="I17" s="52"/>
      <c r="J17" s="52">
        <v>13727</v>
      </c>
      <c r="K17" s="52">
        <v>22638</v>
      </c>
      <c r="L17" s="52">
        <v>19460</v>
      </c>
      <c r="M17" s="52">
        <v>20804</v>
      </c>
      <c r="N17" s="52">
        <f t="shared" si="0"/>
        <v>170513</v>
      </c>
      <c r="O17" s="44">
        <f t="shared" si="1"/>
        <v>0.19195736327204602</v>
      </c>
    </row>
    <row r="18" spans="1:15" s="54" customFormat="1" ht="16.8" x14ac:dyDescent="0.4">
      <c r="A18" s="42" t="s">
        <v>114</v>
      </c>
      <c r="B18" s="52">
        <v>100</v>
      </c>
      <c r="C18" s="52">
        <v>315</v>
      </c>
      <c r="D18" s="52">
        <v>200</v>
      </c>
      <c r="E18" s="52">
        <v>315</v>
      </c>
      <c r="F18" s="52">
        <v>200</v>
      </c>
      <c r="G18" s="52">
        <v>315</v>
      </c>
      <c r="H18" s="52">
        <v>515</v>
      </c>
      <c r="I18" s="52">
        <v>100</v>
      </c>
      <c r="J18" s="52">
        <v>415</v>
      </c>
      <c r="K18" s="52">
        <v>415</v>
      </c>
      <c r="L18" s="52"/>
      <c r="M18" s="52">
        <v>640</v>
      </c>
      <c r="N18" s="52">
        <f t="shared" si="0"/>
        <v>3530</v>
      </c>
      <c r="O18" s="44">
        <f t="shared" si="1"/>
        <v>3.9739462231637617E-3</v>
      </c>
    </row>
    <row r="19" spans="1:15" s="54" customFormat="1" ht="16.8" x14ac:dyDescent="0.4">
      <c r="A19" s="42" t="s">
        <v>10</v>
      </c>
      <c r="B19" s="52">
        <v>104.5</v>
      </c>
      <c r="C19" s="52">
        <v>99</v>
      </c>
      <c r="D19" s="52">
        <v>110</v>
      </c>
      <c r="E19" s="52">
        <v>104.5</v>
      </c>
      <c r="F19" s="52">
        <v>110</v>
      </c>
      <c r="G19" s="52">
        <v>71.5</v>
      </c>
      <c r="H19" s="52"/>
      <c r="I19" s="52"/>
      <c r="J19" s="52">
        <v>88</v>
      </c>
      <c r="K19" s="52">
        <v>115.5</v>
      </c>
      <c r="L19" s="52">
        <v>99</v>
      </c>
      <c r="M19" s="52">
        <v>77</v>
      </c>
      <c r="N19" s="52">
        <f t="shared" si="0"/>
        <v>979</v>
      </c>
      <c r="O19" s="44">
        <f t="shared" si="1"/>
        <v>1.102122762741451E-3</v>
      </c>
    </row>
    <row r="20" spans="1:15" s="54" customFormat="1" ht="16.8" x14ac:dyDescent="0.4">
      <c r="A20" s="42" t="s">
        <v>158</v>
      </c>
      <c r="B20" s="52"/>
      <c r="C20" s="52"/>
      <c r="D20" s="52"/>
      <c r="E20" s="52"/>
      <c r="F20" s="52">
        <v>294</v>
      </c>
      <c r="G20" s="52">
        <v>384</v>
      </c>
      <c r="H20" s="52">
        <v>480</v>
      </c>
      <c r="I20" s="52">
        <v>504</v>
      </c>
      <c r="J20" s="52">
        <v>132</v>
      </c>
      <c r="K20" s="52"/>
      <c r="L20" s="52"/>
      <c r="M20" s="52"/>
      <c r="N20" s="52">
        <f t="shared" si="0"/>
        <v>1794</v>
      </c>
      <c r="O20" s="44">
        <f t="shared" si="1"/>
        <v>2.0196202618571637E-3</v>
      </c>
    </row>
    <row r="21" spans="1:15" s="54" customFormat="1" ht="16.8" x14ac:dyDescent="0.4">
      <c r="A21" s="42" t="s">
        <v>185</v>
      </c>
      <c r="B21" s="52">
        <v>112</v>
      </c>
      <c r="C21" s="52">
        <v>184</v>
      </c>
      <c r="D21" s="52">
        <v>208</v>
      </c>
      <c r="E21" s="52">
        <v>312</v>
      </c>
      <c r="F21" s="52">
        <v>188</v>
      </c>
      <c r="G21" s="52"/>
      <c r="H21" s="52"/>
      <c r="I21" s="52"/>
      <c r="J21" s="52">
        <v>296</v>
      </c>
      <c r="K21" s="52">
        <v>208</v>
      </c>
      <c r="L21" s="52">
        <v>192</v>
      </c>
      <c r="M21" s="52">
        <v>60</v>
      </c>
      <c r="N21" s="52">
        <f t="shared" si="0"/>
        <v>1760</v>
      </c>
      <c r="O21" s="44">
        <f t="shared" si="1"/>
        <v>1.9813442925689009E-3</v>
      </c>
    </row>
    <row r="22" spans="1:15" s="54" customFormat="1" ht="16.8" x14ac:dyDescent="0.4">
      <c r="A22" s="42" t="s">
        <v>11</v>
      </c>
      <c r="B22" s="52">
        <v>8</v>
      </c>
      <c r="C22" s="52">
        <v>24</v>
      </c>
      <c r="D22" s="52"/>
      <c r="E22" s="52">
        <v>8</v>
      </c>
      <c r="F22" s="52">
        <v>16</v>
      </c>
      <c r="G22" s="52">
        <v>28</v>
      </c>
      <c r="H22" s="52"/>
      <c r="I22" s="52">
        <v>20</v>
      </c>
      <c r="J22" s="52">
        <v>32</v>
      </c>
      <c r="K22" s="52">
        <v>16</v>
      </c>
      <c r="L22" s="52">
        <v>24</v>
      </c>
      <c r="M22" s="52">
        <v>4</v>
      </c>
      <c r="N22" s="52">
        <f t="shared" si="0"/>
        <v>180</v>
      </c>
      <c r="O22" s="44">
        <f t="shared" si="1"/>
        <v>2.0263748446727395E-4</v>
      </c>
    </row>
    <row r="23" spans="1:15" s="54" customFormat="1" ht="16.8" x14ac:dyDescent="0.4">
      <c r="A23" s="42" t="s">
        <v>186</v>
      </c>
      <c r="B23" s="52"/>
      <c r="C23" s="52"/>
      <c r="D23" s="52"/>
      <c r="E23" s="52"/>
      <c r="F23" s="52">
        <v>18</v>
      </c>
      <c r="G23" s="52">
        <v>27</v>
      </c>
      <c r="H23" s="52">
        <v>81</v>
      </c>
      <c r="I23" s="52">
        <v>36</v>
      </c>
      <c r="J23" s="52">
        <v>13.5</v>
      </c>
      <c r="K23" s="52"/>
      <c r="L23" s="52"/>
      <c r="M23" s="52"/>
      <c r="N23" s="52">
        <f t="shared" si="0"/>
        <v>175.5</v>
      </c>
      <c r="O23" s="44">
        <f t="shared" si="1"/>
        <v>1.9757154735559209E-4</v>
      </c>
    </row>
    <row r="24" spans="1:15" s="54" customFormat="1" ht="16.8" x14ac:dyDescent="0.4">
      <c r="A24" s="42" t="s">
        <v>182</v>
      </c>
      <c r="B24" s="52">
        <v>12</v>
      </c>
      <c r="C24" s="52">
        <v>3</v>
      </c>
      <c r="D24" s="52"/>
      <c r="E24" s="52">
        <v>12</v>
      </c>
      <c r="F24" s="52">
        <v>15</v>
      </c>
      <c r="G24" s="52"/>
      <c r="H24" s="52"/>
      <c r="I24" s="52"/>
      <c r="J24" s="52">
        <v>66</v>
      </c>
      <c r="K24" s="52">
        <v>15</v>
      </c>
      <c r="L24" s="52">
        <v>3</v>
      </c>
      <c r="M24" s="52"/>
      <c r="N24" s="52">
        <f t="shared" si="0"/>
        <v>126</v>
      </c>
      <c r="O24" s="44">
        <f t="shared" si="1"/>
        <v>1.4184623912709177E-4</v>
      </c>
    </row>
    <row r="25" spans="1:15" s="54" customFormat="1" ht="16.8" x14ac:dyDescent="0.4">
      <c r="A25" s="42" t="s">
        <v>162</v>
      </c>
      <c r="B25" s="52"/>
      <c r="C25" s="52"/>
      <c r="D25" s="52"/>
      <c r="E25" s="52"/>
      <c r="F25" s="52">
        <v>129</v>
      </c>
      <c r="G25" s="52">
        <v>183</v>
      </c>
      <c r="H25" s="52">
        <v>246</v>
      </c>
      <c r="I25" s="52">
        <v>354</v>
      </c>
      <c r="J25" s="52">
        <v>45</v>
      </c>
      <c r="K25" s="52"/>
      <c r="L25" s="52"/>
      <c r="M25" s="52"/>
      <c r="N25" s="52">
        <f t="shared" si="0"/>
        <v>957</v>
      </c>
      <c r="O25" s="44">
        <f t="shared" si="1"/>
        <v>1.0773559590843398E-3</v>
      </c>
    </row>
    <row r="26" spans="1:15" s="54" customFormat="1" ht="16.8" x14ac:dyDescent="0.4">
      <c r="A26" s="42" t="s">
        <v>183</v>
      </c>
      <c r="B26" s="52">
        <v>18</v>
      </c>
      <c r="C26" s="52">
        <v>8</v>
      </c>
      <c r="D26" s="52">
        <v>14</v>
      </c>
      <c r="E26" s="52">
        <v>52</v>
      </c>
      <c r="F26" s="52">
        <v>50</v>
      </c>
      <c r="G26" s="52"/>
      <c r="H26" s="52"/>
      <c r="I26" s="52"/>
      <c r="J26" s="52">
        <v>62</v>
      </c>
      <c r="K26" s="52">
        <v>32</v>
      </c>
      <c r="L26" s="52">
        <v>12</v>
      </c>
      <c r="M26" s="52">
        <v>4</v>
      </c>
      <c r="N26" s="52">
        <f t="shared" si="0"/>
        <v>252</v>
      </c>
      <c r="O26" s="44">
        <f t="shared" si="1"/>
        <v>2.8369247825418354E-4</v>
      </c>
    </row>
    <row r="27" spans="1:15" s="54" customFormat="1" ht="16.8" x14ac:dyDescent="0.4">
      <c r="A27" s="42" t="s">
        <v>211</v>
      </c>
      <c r="B27" s="52"/>
      <c r="C27" s="52"/>
      <c r="D27" s="52"/>
      <c r="E27" s="52"/>
      <c r="F27" s="52">
        <v>1249.5</v>
      </c>
      <c r="G27" s="52">
        <v>2552.5</v>
      </c>
      <c r="H27" s="52">
        <v>4680</v>
      </c>
      <c r="I27" s="52">
        <v>4285.5</v>
      </c>
      <c r="J27" s="52">
        <v>1096.5</v>
      </c>
      <c r="K27" s="52"/>
      <c r="L27" s="52"/>
      <c r="M27" s="52"/>
      <c r="N27" s="52">
        <f t="shared" si="0"/>
        <v>13864</v>
      </c>
      <c r="O27" s="44">
        <f t="shared" si="1"/>
        <v>1.5607589359190478E-2</v>
      </c>
    </row>
    <row r="28" spans="1:15" s="54" customFormat="1" ht="16.8" x14ac:dyDescent="0.4">
      <c r="A28" s="42" t="s">
        <v>212</v>
      </c>
      <c r="B28" s="52">
        <v>993</v>
      </c>
      <c r="C28" s="52">
        <v>875</v>
      </c>
      <c r="D28" s="52">
        <v>1024</v>
      </c>
      <c r="E28" s="52">
        <v>1516</v>
      </c>
      <c r="F28" s="52">
        <v>833</v>
      </c>
      <c r="G28" s="52"/>
      <c r="H28" s="52"/>
      <c r="I28" s="52"/>
      <c r="J28" s="52">
        <v>885</v>
      </c>
      <c r="K28" s="52">
        <v>1148</v>
      </c>
      <c r="L28" s="52">
        <v>1112</v>
      </c>
      <c r="M28" s="52">
        <v>1177</v>
      </c>
      <c r="N28" s="52">
        <f t="shared" si="0"/>
        <v>9563</v>
      </c>
      <c r="O28" s="44">
        <f t="shared" si="1"/>
        <v>1.0765679244225227E-2</v>
      </c>
    </row>
    <row r="29" spans="1:15" s="54" customFormat="1" ht="16.8" x14ac:dyDescent="0.4">
      <c r="A29" s="42" t="s">
        <v>159</v>
      </c>
      <c r="B29" s="52"/>
      <c r="C29" s="52"/>
      <c r="D29" s="52"/>
      <c r="E29" s="52"/>
      <c r="F29" s="52">
        <v>1755</v>
      </c>
      <c r="G29" s="52">
        <v>3952.5</v>
      </c>
      <c r="H29" s="52">
        <v>5017.5</v>
      </c>
      <c r="I29" s="52">
        <v>4957.5</v>
      </c>
      <c r="J29" s="52">
        <v>1560</v>
      </c>
      <c r="K29" s="52"/>
      <c r="L29" s="52"/>
      <c r="M29" s="52"/>
      <c r="N29" s="52">
        <f t="shared" si="0"/>
        <v>17242.5</v>
      </c>
      <c r="O29" s="44">
        <f t="shared" si="1"/>
        <v>1.9410982366260949E-2</v>
      </c>
    </row>
    <row r="30" spans="1:15" s="54" customFormat="1" ht="16.8" x14ac:dyDescent="0.4">
      <c r="A30" s="42" t="s">
        <v>181</v>
      </c>
      <c r="B30" s="52">
        <v>4044</v>
      </c>
      <c r="C30" s="52">
        <v>3228</v>
      </c>
      <c r="D30" s="52">
        <v>3144</v>
      </c>
      <c r="E30" s="52">
        <v>2994</v>
      </c>
      <c r="F30" s="52">
        <v>2616</v>
      </c>
      <c r="G30" s="52"/>
      <c r="H30" s="52"/>
      <c r="I30" s="52"/>
      <c r="J30" s="52">
        <v>2292</v>
      </c>
      <c r="K30" s="52">
        <v>2958</v>
      </c>
      <c r="L30" s="52">
        <v>2604</v>
      </c>
      <c r="M30" s="52">
        <v>2778</v>
      </c>
      <c r="N30" s="52">
        <f t="shared" si="0"/>
        <v>26658</v>
      </c>
      <c r="O30" s="44">
        <f t="shared" si="1"/>
        <v>3.0010611449603271E-2</v>
      </c>
    </row>
    <row r="31" spans="1:15" s="54" customFormat="1" ht="16.8" x14ac:dyDescent="0.4">
      <c r="A31" s="42" t="s">
        <v>196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>
        <f t="shared" si="0"/>
        <v>0</v>
      </c>
      <c r="O31" s="44">
        <f t="shared" si="1"/>
        <v>0</v>
      </c>
    </row>
    <row r="32" spans="1:15" s="54" customFormat="1" ht="16.8" x14ac:dyDescent="0.4">
      <c r="A32" s="42" t="s">
        <v>14</v>
      </c>
      <c r="B32" s="52">
        <v>828</v>
      </c>
      <c r="C32" s="52">
        <v>414</v>
      </c>
      <c r="D32" s="52">
        <v>322</v>
      </c>
      <c r="E32" s="52">
        <v>828</v>
      </c>
      <c r="F32" s="52">
        <v>1173</v>
      </c>
      <c r="G32" s="52">
        <v>1702</v>
      </c>
      <c r="H32" s="52">
        <v>2001</v>
      </c>
      <c r="I32" s="52">
        <v>1242</v>
      </c>
      <c r="J32" s="52">
        <v>1265</v>
      </c>
      <c r="K32" s="52">
        <v>598</v>
      </c>
      <c r="L32" s="52">
        <v>1035</v>
      </c>
      <c r="M32" s="52">
        <v>874</v>
      </c>
      <c r="N32" s="52">
        <f t="shared" si="0"/>
        <v>12282</v>
      </c>
      <c r="O32" s="44">
        <f t="shared" si="1"/>
        <v>1.3826631023483658E-2</v>
      </c>
    </row>
    <row r="33" spans="1:15" s="54" customFormat="1" ht="16.8" x14ac:dyDescent="0.4">
      <c r="A33" s="42" t="s">
        <v>163</v>
      </c>
      <c r="B33" s="52"/>
      <c r="C33" s="52"/>
      <c r="D33" s="52"/>
      <c r="E33" s="52"/>
      <c r="F33" s="52">
        <v>1296</v>
      </c>
      <c r="G33" s="52">
        <v>3756</v>
      </c>
      <c r="H33" s="52">
        <v>4044</v>
      </c>
      <c r="I33" s="52">
        <v>3696</v>
      </c>
      <c r="J33" s="52">
        <v>1308</v>
      </c>
      <c r="K33" s="52"/>
      <c r="L33" s="52"/>
      <c r="M33" s="52"/>
      <c r="N33" s="52">
        <f t="shared" si="0"/>
        <v>14100</v>
      </c>
      <c r="O33" s="44">
        <f t="shared" si="1"/>
        <v>1.5873269616603125E-2</v>
      </c>
    </row>
    <row r="34" spans="1:15" s="54" customFormat="1" ht="16.8" x14ac:dyDescent="0.4">
      <c r="A34" s="42" t="s">
        <v>187</v>
      </c>
      <c r="B34" s="52">
        <v>2739</v>
      </c>
      <c r="C34" s="52">
        <v>2430</v>
      </c>
      <c r="D34" s="52">
        <v>2120</v>
      </c>
      <c r="E34" s="52">
        <v>1750</v>
      </c>
      <c r="F34" s="52">
        <v>1620</v>
      </c>
      <c r="G34" s="52"/>
      <c r="H34" s="52"/>
      <c r="I34" s="52"/>
      <c r="J34" s="52">
        <v>2100</v>
      </c>
      <c r="K34" s="52">
        <v>3080</v>
      </c>
      <c r="L34" s="52">
        <v>2810</v>
      </c>
      <c r="M34" s="52">
        <v>2590</v>
      </c>
      <c r="N34" s="52">
        <f t="shared" si="0"/>
        <v>21239</v>
      </c>
      <c r="O34" s="44">
        <f t="shared" si="1"/>
        <v>2.3910097403335731E-2</v>
      </c>
    </row>
    <row r="35" spans="1:15" s="54" customFormat="1" ht="16.8" x14ac:dyDescent="0.4">
      <c r="A35" s="42" t="s">
        <v>164</v>
      </c>
      <c r="B35" s="52"/>
      <c r="C35" s="52"/>
      <c r="D35" s="52"/>
      <c r="E35" s="52"/>
      <c r="F35" s="52">
        <v>935</v>
      </c>
      <c r="G35" s="52">
        <v>2040</v>
      </c>
      <c r="H35" s="52">
        <v>1836</v>
      </c>
      <c r="I35" s="52">
        <v>1411</v>
      </c>
      <c r="J35" s="52">
        <v>578</v>
      </c>
      <c r="K35" s="52"/>
      <c r="L35" s="52"/>
      <c r="M35" s="52"/>
      <c r="N35" s="52">
        <f t="shared" si="0"/>
        <v>6800</v>
      </c>
      <c r="O35" s="44">
        <f t="shared" si="1"/>
        <v>7.6551938576525716E-3</v>
      </c>
    </row>
    <row r="36" spans="1:15" s="54" customFormat="1" ht="16.8" x14ac:dyDescent="0.4">
      <c r="A36" s="42" t="s">
        <v>188</v>
      </c>
      <c r="B36" s="52">
        <v>1170</v>
      </c>
      <c r="C36" s="52">
        <v>1290</v>
      </c>
      <c r="D36" s="52">
        <v>1770</v>
      </c>
      <c r="E36" s="52">
        <v>1425</v>
      </c>
      <c r="F36" s="52">
        <v>1230</v>
      </c>
      <c r="G36" s="52"/>
      <c r="H36" s="52"/>
      <c r="I36" s="52"/>
      <c r="J36" s="52">
        <v>1260</v>
      </c>
      <c r="K36" s="52">
        <v>1155</v>
      </c>
      <c r="L36" s="52">
        <v>1215</v>
      </c>
      <c r="M36" s="52">
        <v>1170</v>
      </c>
      <c r="N36" s="52">
        <f t="shared" si="0"/>
        <v>11685</v>
      </c>
      <c r="O36" s="44">
        <f t="shared" si="1"/>
        <v>1.3154550033333868E-2</v>
      </c>
    </row>
    <row r="37" spans="1:15" s="54" customFormat="1" ht="16.8" x14ac:dyDescent="0.4">
      <c r="A37" s="42" t="s">
        <v>165</v>
      </c>
      <c r="B37" s="52"/>
      <c r="C37" s="52"/>
      <c r="D37" s="52"/>
      <c r="E37" s="52"/>
      <c r="F37" s="52">
        <v>770</v>
      </c>
      <c r="G37" s="52">
        <v>1232</v>
      </c>
      <c r="H37" s="52">
        <v>1562</v>
      </c>
      <c r="I37" s="52">
        <v>1364</v>
      </c>
      <c r="J37" s="52">
        <v>330</v>
      </c>
      <c r="K37" s="52"/>
      <c r="L37" s="52"/>
      <c r="M37" s="52"/>
      <c r="N37" s="52">
        <f t="shared" si="0"/>
        <v>5258</v>
      </c>
      <c r="O37" s="44">
        <f t="shared" si="1"/>
        <v>5.9192660740495914E-3</v>
      </c>
    </row>
    <row r="38" spans="1:15" s="54" customFormat="1" ht="16.8" x14ac:dyDescent="0.4">
      <c r="A38" s="42" t="s">
        <v>189</v>
      </c>
      <c r="B38" s="52">
        <v>600</v>
      </c>
      <c r="C38" s="52">
        <v>480</v>
      </c>
      <c r="D38" s="52">
        <v>680</v>
      </c>
      <c r="E38" s="52">
        <v>680</v>
      </c>
      <c r="F38" s="52">
        <v>780</v>
      </c>
      <c r="G38" s="52"/>
      <c r="H38" s="52"/>
      <c r="I38" s="52"/>
      <c r="J38" s="52">
        <v>720</v>
      </c>
      <c r="K38" s="52">
        <v>1180</v>
      </c>
      <c r="L38" s="52">
        <v>620</v>
      </c>
      <c r="M38" s="52">
        <v>580</v>
      </c>
      <c r="N38" s="52">
        <f t="shared" si="0"/>
        <v>6320</v>
      </c>
      <c r="O38" s="44">
        <f t="shared" si="1"/>
        <v>7.1148272324065079E-3</v>
      </c>
    </row>
    <row r="39" spans="1:15" s="54" customFormat="1" ht="16.8" x14ac:dyDescent="0.4">
      <c r="A39" s="42" t="s">
        <v>166</v>
      </c>
      <c r="B39" s="52"/>
      <c r="C39" s="52"/>
      <c r="D39" s="52"/>
      <c r="E39" s="52"/>
      <c r="F39" s="52">
        <v>644</v>
      </c>
      <c r="G39" s="52">
        <v>1960</v>
      </c>
      <c r="H39" s="52">
        <v>2380</v>
      </c>
      <c r="I39" s="52">
        <v>1512</v>
      </c>
      <c r="J39" s="52">
        <v>588</v>
      </c>
      <c r="K39" s="52"/>
      <c r="L39" s="52"/>
      <c r="M39" s="52"/>
      <c r="N39" s="52">
        <f t="shared" si="0"/>
        <v>7084</v>
      </c>
      <c r="O39" s="44">
        <f t="shared" si="1"/>
        <v>7.9749107775898258E-3</v>
      </c>
    </row>
    <row r="40" spans="1:15" s="54" customFormat="1" ht="16.8" x14ac:dyDescent="0.4">
      <c r="A40" s="42" t="s">
        <v>190</v>
      </c>
      <c r="B40" s="52">
        <v>831</v>
      </c>
      <c r="C40" s="52">
        <v>1248</v>
      </c>
      <c r="D40" s="52">
        <v>624</v>
      </c>
      <c r="E40" s="52">
        <v>1378</v>
      </c>
      <c r="F40" s="52">
        <v>1222</v>
      </c>
      <c r="G40" s="52"/>
      <c r="H40" s="52"/>
      <c r="I40" s="52"/>
      <c r="J40" s="52">
        <v>1144</v>
      </c>
      <c r="K40" s="52">
        <v>1456</v>
      </c>
      <c r="L40" s="52">
        <v>1092</v>
      </c>
      <c r="M40" s="52">
        <v>806</v>
      </c>
      <c r="N40" s="52">
        <f t="shared" si="0"/>
        <v>9801</v>
      </c>
      <c r="O40" s="44">
        <f t="shared" si="1"/>
        <v>1.1033611029243067E-2</v>
      </c>
    </row>
    <row r="41" spans="1:15" s="54" customFormat="1" ht="16.8" x14ac:dyDescent="0.4">
      <c r="A41" s="42" t="s">
        <v>167</v>
      </c>
      <c r="B41" s="52"/>
      <c r="C41" s="52"/>
      <c r="D41" s="52"/>
      <c r="E41" s="52"/>
      <c r="F41" s="52">
        <v>315</v>
      </c>
      <c r="G41" s="52">
        <v>1015</v>
      </c>
      <c r="H41" s="52">
        <v>1505</v>
      </c>
      <c r="I41" s="52">
        <v>1120</v>
      </c>
      <c r="J41" s="52">
        <v>245</v>
      </c>
      <c r="K41" s="52"/>
      <c r="L41" s="52"/>
      <c r="M41" s="52"/>
      <c r="N41" s="52">
        <f t="shared" si="0"/>
        <v>4200</v>
      </c>
      <c r="O41" s="44">
        <f t="shared" si="1"/>
        <v>4.7282079709030592E-3</v>
      </c>
    </row>
    <row r="42" spans="1:15" s="54" customFormat="1" ht="16.8" x14ac:dyDescent="0.4">
      <c r="A42" s="42" t="s">
        <v>191</v>
      </c>
      <c r="B42" s="52">
        <v>462</v>
      </c>
      <c r="C42" s="52">
        <v>462</v>
      </c>
      <c r="D42" s="52">
        <v>561</v>
      </c>
      <c r="E42" s="52">
        <v>528</v>
      </c>
      <c r="F42" s="52">
        <v>759</v>
      </c>
      <c r="G42" s="52"/>
      <c r="H42" s="52"/>
      <c r="I42" s="52"/>
      <c r="J42" s="52">
        <v>627</v>
      </c>
      <c r="K42" s="52">
        <v>825</v>
      </c>
      <c r="L42" s="52">
        <v>363</v>
      </c>
      <c r="M42" s="52">
        <v>99</v>
      </c>
      <c r="N42" s="52">
        <f t="shared" si="0"/>
        <v>4686</v>
      </c>
      <c r="O42" s="44">
        <f t="shared" si="1"/>
        <v>5.2753291789646986E-3</v>
      </c>
    </row>
    <row r="43" spans="1:15" s="54" customFormat="1" ht="16.8" x14ac:dyDescent="0.4">
      <c r="A43" s="42" t="s">
        <v>168</v>
      </c>
      <c r="B43" s="52"/>
      <c r="C43" s="52"/>
      <c r="D43" s="52"/>
      <c r="E43" s="52"/>
      <c r="F43" s="52">
        <v>129</v>
      </c>
      <c r="G43" s="52">
        <v>387</v>
      </c>
      <c r="H43" s="52">
        <v>860</v>
      </c>
      <c r="I43" s="52">
        <v>731</v>
      </c>
      <c r="J43" s="52">
        <v>258</v>
      </c>
      <c r="K43" s="52"/>
      <c r="L43" s="52"/>
      <c r="M43" s="52"/>
      <c r="N43" s="52">
        <f t="shared" si="0"/>
        <v>2365</v>
      </c>
      <c r="O43" s="44">
        <f t="shared" si="1"/>
        <v>2.6624313931394605E-3</v>
      </c>
    </row>
    <row r="44" spans="1:15" s="54" customFormat="1" ht="16.8" x14ac:dyDescent="0.4">
      <c r="A44" s="42" t="s">
        <v>192</v>
      </c>
      <c r="B44" s="52">
        <v>287</v>
      </c>
      <c r="C44" s="52">
        <v>369</v>
      </c>
      <c r="D44" s="52">
        <v>246</v>
      </c>
      <c r="E44" s="52">
        <v>205</v>
      </c>
      <c r="F44" s="52">
        <v>164</v>
      </c>
      <c r="G44" s="52"/>
      <c r="H44" s="52"/>
      <c r="I44" s="52"/>
      <c r="J44" s="52">
        <v>164</v>
      </c>
      <c r="K44" s="52">
        <v>328</v>
      </c>
      <c r="L44" s="52">
        <v>287</v>
      </c>
      <c r="M44" s="52">
        <v>246</v>
      </c>
      <c r="N44" s="52">
        <f t="shared" si="0"/>
        <v>2296</v>
      </c>
      <c r="O44" s="44">
        <f t="shared" si="1"/>
        <v>2.5847536907603386E-3</v>
      </c>
    </row>
    <row r="45" spans="1:15" s="54" customFormat="1" ht="16.8" x14ac:dyDescent="0.4">
      <c r="A45" s="42" t="s">
        <v>169</v>
      </c>
      <c r="B45" s="52"/>
      <c r="C45" s="52"/>
      <c r="D45" s="52"/>
      <c r="E45" s="52"/>
      <c r="F45" s="52">
        <v>52</v>
      </c>
      <c r="G45" s="52">
        <v>260</v>
      </c>
      <c r="H45" s="52">
        <v>416</v>
      </c>
      <c r="I45" s="52">
        <v>416</v>
      </c>
      <c r="J45" s="52">
        <v>208</v>
      </c>
      <c r="K45" s="52"/>
      <c r="L45" s="52"/>
      <c r="M45" s="52"/>
      <c r="N45" s="52">
        <f t="shared" si="0"/>
        <v>1352</v>
      </c>
      <c r="O45" s="44">
        <f t="shared" si="1"/>
        <v>1.5220326611097466E-3</v>
      </c>
    </row>
    <row r="46" spans="1:15" s="54" customFormat="1" ht="16.8" x14ac:dyDescent="0.4">
      <c r="A46" s="42" t="s">
        <v>193</v>
      </c>
      <c r="B46" s="52">
        <v>150</v>
      </c>
      <c r="C46" s="52">
        <v>100</v>
      </c>
      <c r="D46" s="52">
        <v>200</v>
      </c>
      <c r="E46" s="52">
        <v>100</v>
      </c>
      <c r="F46" s="52"/>
      <c r="G46" s="52"/>
      <c r="H46" s="52"/>
      <c r="I46" s="52"/>
      <c r="J46" s="52">
        <v>50</v>
      </c>
      <c r="K46" s="52">
        <v>100</v>
      </c>
      <c r="L46" s="52">
        <v>100</v>
      </c>
      <c r="M46" s="52">
        <v>50</v>
      </c>
      <c r="N46" s="52">
        <f t="shared" si="0"/>
        <v>850</v>
      </c>
      <c r="O46" s="44">
        <f t="shared" si="1"/>
        <v>9.5689923220657145E-4</v>
      </c>
    </row>
    <row r="47" spans="1:15" s="54" customFormat="1" ht="16.8" x14ac:dyDescent="0.4">
      <c r="A47" s="42" t="s">
        <v>170</v>
      </c>
      <c r="B47" s="52"/>
      <c r="C47" s="52"/>
      <c r="D47" s="52"/>
      <c r="E47" s="52"/>
      <c r="F47" s="52">
        <v>122</v>
      </c>
      <c r="G47" s="52">
        <v>183</v>
      </c>
      <c r="H47" s="52">
        <v>183</v>
      </c>
      <c r="I47" s="52">
        <v>61</v>
      </c>
      <c r="J47" s="52">
        <v>122</v>
      </c>
      <c r="K47" s="52"/>
      <c r="L47" s="52"/>
      <c r="M47" s="52"/>
      <c r="N47" s="52">
        <f t="shared" si="0"/>
        <v>671</v>
      </c>
      <c r="O47" s="44">
        <f t="shared" si="1"/>
        <v>7.5538751154189342E-4</v>
      </c>
    </row>
    <row r="48" spans="1:15" s="54" customFormat="1" ht="16.8" x14ac:dyDescent="0.4">
      <c r="A48" s="42" t="s">
        <v>194</v>
      </c>
      <c r="B48" s="52">
        <v>59</v>
      </c>
      <c r="C48" s="52">
        <v>354</v>
      </c>
      <c r="D48" s="52">
        <v>236</v>
      </c>
      <c r="E48" s="52">
        <v>118</v>
      </c>
      <c r="F48" s="52"/>
      <c r="G48" s="52"/>
      <c r="H48" s="52"/>
      <c r="I48" s="52"/>
      <c r="J48" s="52">
        <v>295</v>
      </c>
      <c r="K48" s="52">
        <v>177</v>
      </c>
      <c r="L48" s="52">
        <v>59</v>
      </c>
      <c r="M48" s="52">
        <v>236</v>
      </c>
      <c r="N48" s="52">
        <f t="shared" si="0"/>
        <v>1534</v>
      </c>
      <c r="O48" s="44">
        <f t="shared" si="1"/>
        <v>1.7269216731822124E-3</v>
      </c>
    </row>
    <row r="49" spans="1:15" s="54" customFormat="1" ht="16.8" x14ac:dyDescent="0.4">
      <c r="A49" s="42" t="s">
        <v>171</v>
      </c>
      <c r="B49" s="52"/>
      <c r="C49" s="52"/>
      <c r="D49" s="52"/>
      <c r="E49" s="52"/>
      <c r="F49" s="52">
        <v>72</v>
      </c>
      <c r="G49" s="52">
        <v>432</v>
      </c>
      <c r="H49" s="52">
        <v>72</v>
      </c>
      <c r="I49" s="52">
        <v>576</v>
      </c>
      <c r="J49" s="52">
        <v>288</v>
      </c>
      <c r="K49" s="52"/>
      <c r="L49" s="52"/>
      <c r="M49" s="52"/>
      <c r="N49" s="52">
        <f t="shared" si="0"/>
        <v>1440</v>
      </c>
      <c r="O49" s="44">
        <f t="shared" si="1"/>
        <v>1.6210998757381916E-3</v>
      </c>
    </row>
    <row r="50" spans="1:15" s="54" customFormat="1" ht="16.8" x14ac:dyDescent="0.4">
      <c r="A50" s="42" t="s">
        <v>195</v>
      </c>
      <c r="B50" s="52">
        <v>280</v>
      </c>
      <c r="C50" s="52">
        <v>350</v>
      </c>
      <c r="D50" s="52"/>
      <c r="E50" s="52">
        <v>140</v>
      </c>
      <c r="F50" s="52">
        <v>280</v>
      </c>
      <c r="G50" s="52"/>
      <c r="H50" s="52"/>
      <c r="I50" s="52"/>
      <c r="J50" s="52">
        <v>420</v>
      </c>
      <c r="K50" s="52">
        <v>490</v>
      </c>
      <c r="L50" s="52">
        <v>490</v>
      </c>
      <c r="M50" s="52">
        <v>140</v>
      </c>
      <c r="N50" s="52">
        <f t="shared" si="0"/>
        <v>2590</v>
      </c>
      <c r="O50" s="44">
        <f t="shared" si="1"/>
        <v>2.9157282487235528E-3</v>
      </c>
    </row>
    <row r="51" spans="1:15" s="54" customFormat="1" ht="16.8" x14ac:dyDescent="0.4">
      <c r="A51" s="42" t="s">
        <v>198</v>
      </c>
      <c r="B51" s="52">
        <v>11.4</v>
      </c>
      <c r="C51" s="52">
        <v>10.8</v>
      </c>
      <c r="D51" s="52">
        <v>12</v>
      </c>
      <c r="E51" s="52">
        <v>11.4</v>
      </c>
      <c r="F51" s="52">
        <v>12</v>
      </c>
      <c r="G51" s="52">
        <v>7.8</v>
      </c>
      <c r="H51" s="52"/>
      <c r="I51" s="52"/>
      <c r="J51" s="52">
        <v>9.6</v>
      </c>
      <c r="K51" s="52">
        <v>12.6</v>
      </c>
      <c r="L51" s="52">
        <v>10.8</v>
      </c>
      <c r="M51" s="52">
        <v>8.4</v>
      </c>
      <c r="N51" s="52">
        <f t="shared" si="0"/>
        <v>106.8</v>
      </c>
      <c r="O51" s="44">
        <f t="shared" si="1"/>
        <v>1.2023157411724921E-4</v>
      </c>
    </row>
    <row r="52" spans="1:15" ht="16.8" x14ac:dyDescent="0.4">
      <c r="A52" s="5" t="s">
        <v>25</v>
      </c>
      <c r="B52" s="39">
        <f>SUM(B4:B51)</f>
        <v>66996.899999999994</v>
      </c>
      <c r="C52" s="39">
        <f t="shared" ref="C52:M52" si="2">SUM(C4:C51)</f>
        <v>53628.800000000003</v>
      </c>
      <c r="D52" s="39">
        <f t="shared" si="2"/>
        <v>61587</v>
      </c>
      <c r="E52" s="39">
        <f t="shared" si="2"/>
        <v>52545.9</v>
      </c>
      <c r="F52" s="39">
        <f t="shared" si="2"/>
        <v>91466.5</v>
      </c>
      <c r="G52" s="39">
        <f t="shared" si="2"/>
        <v>87596.3</v>
      </c>
      <c r="H52" s="39">
        <f t="shared" si="2"/>
        <v>110845.5</v>
      </c>
      <c r="I52" s="39">
        <f t="shared" si="2"/>
        <v>100911</v>
      </c>
      <c r="J52" s="39">
        <f t="shared" si="2"/>
        <v>77231.600000000006</v>
      </c>
      <c r="K52" s="39">
        <f t="shared" si="2"/>
        <v>64729.1</v>
      </c>
      <c r="L52" s="39">
        <f t="shared" si="2"/>
        <v>59317.8</v>
      </c>
      <c r="M52" s="39">
        <f t="shared" si="2"/>
        <v>61429.4</v>
      </c>
      <c r="N52" s="9">
        <f t="shared" si="0"/>
        <v>888285.79999999993</v>
      </c>
      <c r="O52" s="10">
        <f t="shared" si="1"/>
        <v>1</v>
      </c>
    </row>
    <row r="53" spans="1:15" ht="16.8" x14ac:dyDescent="0.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6.8" x14ac:dyDescent="0.4">
      <c r="A56" s="4" t="s">
        <v>148</v>
      </c>
      <c r="B56" s="39">
        <f>+B4+B5+B6+B7+B9+B10+B16+B17+B18+B19+B20+B21+B22+B23+B24+B29+B30+B33+B34+B35+B36+B37+B38+B39+B40+B41+B42+B43+B44+B45+B46+B47+B48+B49+B50+B51</f>
        <v>56648.9</v>
      </c>
      <c r="C56" s="39">
        <f t="shared" ref="C56:N56" si="3">+C4+C5+C6+C7+C9+C10+C16+C17+C18+C19+C20+C21+C22+C23+C24+C29+C30+C33+C34+C35+C36+C37+C38+C39+C40+C41+C42+C43+C44+C45+C46+C47+C48+C49+C50+C51</f>
        <v>45067.8</v>
      </c>
      <c r="D56" s="39">
        <f t="shared" si="3"/>
        <v>51505</v>
      </c>
      <c r="E56" s="39">
        <f t="shared" si="3"/>
        <v>38265.9</v>
      </c>
      <c r="F56" s="39">
        <f t="shared" si="3"/>
        <v>72565</v>
      </c>
      <c r="G56" s="39">
        <f t="shared" si="3"/>
        <v>66161.8</v>
      </c>
      <c r="H56" s="39">
        <f t="shared" si="3"/>
        <v>80897.5</v>
      </c>
      <c r="I56" s="39">
        <f t="shared" si="3"/>
        <v>74908.5</v>
      </c>
      <c r="J56" s="39">
        <f t="shared" si="3"/>
        <v>60725.1</v>
      </c>
      <c r="K56" s="39">
        <f t="shared" si="3"/>
        <v>53907.1</v>
      </c>
      <c r="L56" s="39">
        <f t="shared" si="3"/>
        <v>49333.8</v>
      </c>
      <c r="M56" s="39">
        <f t="shared" si="3"/>
        <v>51555.4</v>
      </c>
      <c r="N56" s="39">
        <f t="shared" si="3"/>
        <v>701541.8</v>
      </c>
      <c r="O56" s="4"/>
    </row>
    <row r="57" spans="1:15" s="53" customFormat="1" ht="16.8" x14ac:dyDescent="0.4">
      <c r="A57" s="55" t="s">
        <v>149</v>
      </c>
      <c r="B57" s="50">
        <f>+B8+B11+B12+B13+B14+B15+B25+B26+B27+B28+B32</f>
        <v>10348</v>
      </c>
      <c r="C57" s="50">
        <f t="shared" ref="C57:N57" si="4">+C8+C11+C12+C13+C14+C15+C25+C26+C27+C28+C32</f>
        <v>8561</v>
      </c>
      <c r="D57" s="50">
        <f t="shared" si="4"/>
        <v>10082</v>
      </c>
      <c r="E57" s="50">
        <f t="shared" si="4"/>
        <v>14280</v>
      </c>
      <c r="F57" s="50">
        <f t="shared" si="4"/>
        <v>18901.5</v>
      </c>
      <c r="G57" s="50">
        <f t="shared" si="4"/>
        <v>21434.5</v>
      </c>
      <c r="H57" s="50">
        <f t="shared" si="4"/>
        <v>29948</v>
      </c>
      <c r="I57" s="50">
        <f t="shared" si="4"/>
        <v>26002.5</v>
      </c>
      <c r="J57" s="50">
        <f t="shared" si="4"/>
        <v>16506.5</v>
      </c>
      <c r="K57" s="50">
        <f t="shared" si="4"/>
        <v>10822</v>
      </c>
      <c r="L57" s="50">
        <f t="shared" si="4"/>
        <v>9984</v>
      </c>
      <c r="M57" s="50">
        <f t="shared" si="4"/>
        <v>9874</v>
      </c>
      <c r="N57" s="50">
        <f t="shared" si="4"/>
        <v>186744</v>
      </c>
      <c r="O57" s="50"/>
    </row>
    <row r="58" spans="1:15" s="46" customFormat="1" ht="17.399999999999999" thickBot="1" x14ac:dyDescent="0.45">
      <c r="A58" s="48" t="s">
        <v>143</v>
      </c>
      <c r="B58" s="47">
        <f t="shared" ref="B58:N58" si="5">SUM(B56:B57)</f>
        <v>66996.899999999994</v>
      </c>
      <c r="C58" s="47">
        <f t="shared" si="5"/>
        <v>53628.800000000003</v>
      </c>
      <c r="D58" s="47">
        <f t="shared" si="5"/>
        <v>61587</v>
      </c>
      <c r="E58" s="47">
        <f t="shared" si="5"/>
        <v>52545.9</v>
      </c>
      <c r="F58" s="47">
        <f t="shared" si="5"/>
        <v>91466.5</v>
      </c>
      <c r="G58" s="47">
        <f t="shared" si="5"/>
        <v>87596.3</v>
      </c>
      <c r="H58" s="47">
        <f t="shared" si="5"/>
        <v>110845.5</v>
      </c>
      <c r="I58" s="47">
        <f t="shared" si="5"/>
        <v>100911</v>
      </c>
      <c r="J58" s="47">
        <f t="shared" si="5"/>
        <v>77231.600000000006</v>
      </c>
      <c r="K58" s="47">
        <f t="shared" si="5"/>
        <v>64729.1</v>
      </c>
      <c r="L58" s="47">
        <f t="shared" si="5"/>
        <v>59317.8</v>
      </c>
      <c r="M58" s="47">
        <f t="shared" si="5"/>
        <v>61429.4</v>
      </c>
      <c r="N58" s="47">
        <f t="shared" si="5"/>
        <v>888285.8</v>
      </c>
      <c r="O58" s="48"/>
    </row>
    <row r="59" spans="1:15" ht="17.399999999999999" thickTop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/>
      <c r="B60" s="39">
        <f t="shared" ref="B60:M60" si="6">+B58-B52</f>
        <v>0</v>
      </c>
      <c r="C60" s="39">
        <f t="shared" si="6"/>
        <v>0</v>
      </c>
      <c r="D60" s="39">
        <f t="shared" si="6"/>
        <v>0</v>
      </c>
      <c r="E60" s="39">
        <f t="shared" si="6"/>
        <v>0</v>
      </c>
      <c r="F60" s="39">
        <f t="shared" si="6"/>
        <v>0</v>
      </c>
      <c r="G60" s="39">
        <f t="shared" si="6"/>
        <v>0</v>
      </c>
      <c r="H60" s="39">
        <f t="shared" si="6"/>
        <v>0</v>
      </c>
      <c r="I60" s="39">
        <f t="shared" si="6"/>
        <v>0</v>
      </c>
      <c r="J60" s="39">
        <f t="shared" si="6"/>
        <v>0</v>
      </c>
      <c r="K60" s="39">
        <f t="shared" si="6"/>
        <v>0</v>
      </c>
      <c r="L60" s="39">
        <f t="shared" si="6"/>
        <v>0</v>
      </c>
      <c r="M60" s="39">
        <f t="shared" si="6"/>
        <v>0</v>
      </c>
      <c r="N60" s="4"/>
      <c r="O60" s="4"/>
    </row>
    <row r="65" spans="1:14" ht="16.2" x14ac:dyDescent="0.25">
      <c r="A65" s="60" t="s">
        <v>204</v>
      </c>
      <c r="B65" s="61">
        <f>+B4+B6+B5+B7+B9+B10</f>
        <v>24021</v>
      </c>
      <c r="C65" s="61">
        <f t="shared" ref="C65:M65" si="7">+C4+C6+C5+C7+C9+C10</f>
        <v>15123</v>
      </c>
      <c r="D65" s="61">
        <f t="shared" si="7"/>
        <v>19407</v>
      </c>
      <c r="E65" s="61">
        <f t="shared" si="7"/>
        <v>12288</v>
      </c>
      <c r="F65" s="61">
        <f t="shared" si="7"/>
        <v>29207</v>
      </c>
      <c r="G65" s="61">
        <f t="shared" si="7"/>
        <v>24459</v>
      </c>
      <c r="H65" s="61">
        <f t="shared" si="7"/>
        <v>26729</v>
      </c>
      <c r="I65" s="61">
        <f t="shared" si="7"/>
        <v>25293</v>
      </c>
      <c r="J65" s="61">
        <f t="shared" si="7"/>
        <v>21372</v>
      </c>
      <c r="K65" s="61">
        <f t="shared" si="7"/>
        <v>18738</v>
      </c>
      <c r="L65" s="61">
        <f t="shared" si="7"/>
        <v>19905</v>
      </c>
      <c r="M65" s="61">
        <f t="shared" si="7"/>
        <v>21267</v>
      </c>
      <c r="N65" s="61">
        <f>SUM(B65:M65)</f>
        <v>257809</v>
      </c>
    </row>
    <row r="66" spans="1:14" ht="16.2" x14ac:dyDescent="0.25">
      <c r="A66" s="60" t="s">
        <v>205</v>
      </c>
      <c r="B66" s="61">
        <f>+B16+B17+B29+B30</f>
        <v>25702</v>
      </c>
      <c r="C66" s="61">
        <f t="shared" ref="C66:M66" si="8">+C16+C17+C29+C30</f>
        <v>22226</v>
      </c>
      <c r="D66" s="61">
        <f t="shared" si="8"/>
        <v>25131</v>
      </c>
      <c r="E66" s="61">
        <f t="shared" si="8"/>
        <v>18891</v>
      </c>
      <c r="F66" s="61">
        <f t="shared" si="8"/>
        <v>32115</v>
      </c>
      <c r="G66" s="61">
        <f t="shared" si="8"/>
        <v>29604.5</v>
      </c>
      <c r="H66" s="61">
        <f t="shared" si="8"/>
        <v>40234.5</v>
      </c>
      <c r="I66" s="61">
        <f t="shared" si="8"/>
        <v>38068.5</v>
      </c>
      <c r="J66" s="61">
        <f t="shared" si="8"/>
        <v>27596</v>
      </c>
      <c r="K66" s="61">
        <f t="shared" si="8"/>
        <v>25596</v>
      </c>
      <c r="L66" s="61">
        <f t="shared" si="8"/>
        <v>22064</v>
      </c>
      <c r="M66" s="61">
        <f t="shared" si="8"/>
        <v>23582</v>
      </c>
      <c r="N66" s="61">
        <f t="shared" ref="N66:N71" si="9">SUM(B66:M66)</f>
        <v>330810.5</v>
      </c>
    </row>
    <row r="67" spans="1:14" ht="16.2" x14ac:dyDescent="0.25">
      <c r="A67" s="60" t="s">
        <v>206</v>
      </c>
      <c r="B67" s="61">
        <f>+B20+B21+B23+B24</f>
        <v>124</v>
      </c>
      <c r="C67" s="61">
        <f t="shared" ref="C67:M67" si="10">+C20+C21+C23+C24</f>
        <v>187</v>
      </c>
      <c r="D67" s="61">
        <f t="shared" si="10"/>
        <v>208</v>
      </c>
      <c r="E67" s="61">
        <f t="shared" si="10"/>
        <v>324</v>
      </c>
      <c r="F67" s="61">
        <f t="shared" si="10"/>
        <v>515</v>
      </c>
      <c r="G67" s="61">
        <f t="shared" si="10"/>
        <v>411</v>
      </c>
      <c r="H67" s="61">
        <f t="shared" si="10"/>
        <v>561</v>
      </c>
      <c r="I67" s="61">
        <f t="shared" si="10"/>
        <v>540</v>
      </c>
      <c r="J67" s="61">
        <f t="shared" si="10"/>
        <v>507.5</v>
      </c>
      <c r="K67" s="61">
        <f t="shared" si="10"/>
        <v>223</v>
      </c>
      <c r="L67" s="61">
        <f t="shared" si="10"/>
        <v>195</v>
      </c>
      <c r="M67" s="61">
        <f t="shared" si="10"/>
        <v>60</v>
      </c>
      <c r="N67" s="61">
        <f t="shared" si="9"/>
        <v>3855.5</v>
      </c>
    </row>
    <row r="68" spans="1:14" ht="16.2" x14ac:dyDescent="0.25">
      <c r="A68" s="60" t="s">
        <v>207</v>
      </c>
      <c r="B68" s="61">
        <f>+B35+B36+B37+B38+B39+B40+B41+B42+B43+B44+B45+B46+B47+B48+B49+B50+B33+B34</f>
        <v>6578</v>
      </c>
      <c r="C68" s="61">
        <f t="shared" ref="C68:M68" si="11">+C35+C36+C37+C38+C39+C40+C41+C42+C43+C44+C45+C46+C47+C48+C49+C50+C33+C34</f>
        <v>7083</v>
      </c>
      <c r="D68" s="61">
        <f t="shared" si="11"/>
        <v>6437</v>
      </c>
      <c r="E68" s="61">
        <f t="shared" si="11"/>
        <v>6324</v>
      </c>
      <c r="F68" s="61">
        <f t="shared" si="11"/>
        <v>10390</v>
      </c>
      <c r="G68" s="61">
        <f t="shared" si="11"/>
        <v>11265</v>
      </c>
      <c r="H68" s="61">
        <f t="shared" si="11"/>
        <v>12858</v>
      </c>
      <c r="I68" s="61">
        <f t="shared" si="11"/>
        <v>10887</v>
      </c>
      <c r="J68" s="61">
        <f t="shared" si="11"/>
        <v>10705</v>
      </c>
      <c r="K68" s="61">
        <f t="shared" si="11"/>
        <v>8791</v>
      </c>
      <c r="L68" s="61">
        <f t="shared" si="11"/>
        <v>7036</v>
      </c>
      <c r="M68" s="61">
        <f t="shared" si="11"/>
        <v>5917</v>
      </c>
      <c r="N68" s="61">
        <f t="shared" si="9"/>
        <v>104271</v>
      </c>
    </row>
    <row r="69" spans="1:14" ht="16.2" x14ac:dyDescent="0.25">
      <c r="A69" s="60" t="s">
        <v>208</v>
      </c>
      <c r="B69" s="61">
        <f>+B8+B13+B32</f>
        <v>4888</v>
      </c>
      <c r="C69" s="61">
        <f t="shared" ref="C69:M69" si="12">+C8+C13+C32</f>
        <v>2947</v>
      </c>
      <c r="D69" s="61">
        <f t="shared" si="12"/>
        <v>3720</v>
      </c>
      <c r="E69" s="61">
        <f t="shared" si="12"/>
        <v>4978</v>
      </c>
      <c r="F69" s="61">
        <f t="shared" si="12"/>
        <v>7287</v>
      </c>
      <c r="G69" s="61">
        <f t="shared" si="12"/>
        <v>6908</v>
      </c>
      <c r="H69" s="61">
        <f t="shared" si="12"/>
        <v>7223</v>
      </c>
      <c r="I69" s="61">
        <f t="shared" si="12"/>
        <v>5580</v>
      </c>
      <c r="J69" s="61">
        <f t="shared" si="12"/>
        <v>5161</v>
      </c>
      <c r="K69" s="61">
        <f t="shared" si="12"/>
        <v>3922</v>
      </c>
      <c r="L69" s="61">
        <f t="shared" si="12"/>
        <v>4055</v>
      </c>
      <c r="M69" s="61">
        <f t="shared" si="12"/>
        <v>3846</v>
      </c>
      <c r="N69" s="61">
        <f t="shared" si="9"/>
        <v>60515</v>
      </c>
    </row>
    <row r="70" spans="1:14" ht="16.2" x14ac:dyDescent="0.25">
      <c r="A70" s="60" t="s">
        <v>209</v>
      </c>
      <c r="B70" s="61">
        <f>+B14+B15+B27+B28</f>
        <v>5271</v>
      </c>
      <c r="C70" s="61">
        <f t="shared" ref="C70:M70" si="13">+C14+C15+C27+C28</f>
        <v>5435</v>
      </c>
      <c r="D70" s="61">
        <f t="shared" si="13"/>
        <v>6192</v>
      </c>
      <c r="E70" s="61">
        <f t="shared" si="13"/>
        <v>8752</v>
      </c>
      <c r="F70" s="61">
        <f t="shared" si="13"/>
        <v>10866.5</v>
      </c>
      <c r="G70" s="61">
        <f t="shared" si="13"/>
        <v>13487.5</v>
      </c>
      <c r="H70" s="61">
        <f t="shared" si="13"/>
        <v>21315</v>
      </c>
      <c r="I70" s="61">
        <f t="shared" si="13"/>
        <v>18808.5</v>
      </c>
      <c r="J70" s="61">
        <f t="shared" si="13"/>
        <v>10470.5</v>
      </c>
      <c r="K70" s="61">
        <f t="shared" si="13"/>
        <v>6634</v>
      </c>
      <c r="L70" s="61">
        <f t="shared" si="13"/>
        <v>5800</v>
      </c>
      <c r="M70" s="61">
        <f t="shared" si="13"/>
        <v>5949</v>
      </c>
      <c r="N70" s="61">
        <f t="shared" si="9"/>
        <v>118981</v>
      </c>
    </row>
    <row r="71" spans="1:14" ht="16.2" x14ac:dyDescent="0.25">
      <c r="A71" s="60" t="s">
        <v>210</v>
      </c>
      <c r="B71" s="61">
        <f>+B11+B12+B25+B26</f>
        <v>189</v>
      </c>
      <c r="C71" s="61">
        <f t="shared" ref="C71:M71" si="14">+C11+C12+C25+C26</f>
        <v>179</v>
      </c>
      <c r="D71" s="61">
        <f t="shared" si="14"/>
        <v>170</v>
      </c>
      <c r="E71" s="61">
        <f t="shared" si="14"/>
        <v>550</v>
      </c>
      <c r="F71" s="61">
        <f t="shared" si="14"/>
        <v>748</v>
      </c>
      <c r="G71" s="61">
        <f t="shared" si="14"/>
        <v>1039</v>
      </c>
      <c r="H71" s="61">
        <f t="shared" si="14"/>
        <v>1410</v>
      </c>
      <c r="I71" s="61">
        <f t="shared" si="14"/>
        <v>1614</v>
      </c>
      <c r="J71" s="61">
        <f t="shared" si="14"/>
        <v>875</v>
      </c>
      <c r="K71" s="61">
        <f t="shared" si="14"/>
        <v>266</v>
      </c>
      <c r="L71" s="61">
        <f t="shared" si="14"/>
        <v>129</v>
      </c>
      <c r="M71" s="61">
        <f t="shared" si="14"/>
        <v>79</v>
      </c>
      <c r="N71" s="61">
        <f t="shared" si="9"/>
        <v>7248</v>
      </c>
    </row>
  </sheetData>
  <phoneticPr fontId="14" type="noConversion"/>
  <printOptions horizontalCentered="1" verticalCentered="1"/>
  <pageMargins left="0.4" right="0.4" top="0.7" bottom="0.7" header="0.5" footer="0.5"/>
  <pageSetup scale="5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81"/>
  <sheetViews>
    <sheetView zoomScale="75" workbookViewId="0">
      <pane xSplit="1" ySplit="3" topLeftCell="D41" activePane="bottomRight" state="frozen"/>
      <selection pane="topRight" activeCell="B1" sqref="B1"/>
      <selection pane="bottomLeft" activeCell="A4" sqref="A4"/>
      <selection pane="bottomRight" activeCell="N38" sqref="N38:N39"/>
    </sheetView>
  </sheetViews>
  <sheetFormatPr defaultColWidth="9.75" defaultRowHeight="16.2" x14ac:dyDescent="0.4"/>
  <cols>
    <col min="1" max="1" width="27.4140625" style="4" bestFit="1" customWidth="1"/>
    <col min="2" max="2" width="9.9140625" style="4" bestFit="1" customWidth="1"/>
    <col min="3" max="3" width="9.33203125" style="4" customWidth="1"/>
    <col min="4" max="6" width="9.9140625" style="4" bestFit="1" customWidth="1"/>
    <col min="7" max="7" width="9.6640625" style="4" bestFit="1" customWidth="1"/>
    <col min="8" max="9" width="10.08203125" style="4" bestFit="1" customWidth="1"/>
    <col min="10" max="10" width="9.9140625" style="4" bestFit="1" customWidth="1"/>
    <col min="11" max="12" width="9.33203125" style="4" customWidth="1"/>
    <col min="13" max="13" width="9.9140625" style="4" bestFit="1" customWidth="1"/>
    <col min="14" max="14" width="10.75" style="4" bestFit="1" customWidth="1"/>
    <col min="15" max="15" width="6.58203125" style="4" bestFit="1" customWidth="1"/>
    <col min="16" max="16384" width="9.75" style="4"/>
  </cols>
  <sheetData>
    <row r="1" spans="1:15" ht="18.600000000000001" x14ac:dyDescent="0.45">
      <c r="A1" s="3" t="s">
        <v>153</v>
      </c>
    </row>
    <row r="3" spans="1:15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</row>
    <row r="4" spans="1:15" s="45" customFormat="1" x14ac:dyDescent="0.4">
      <c r="A4" s="42" t="s">
        <v>107</v>
      </c>
      <c r="B4" s="43">
        <v>1273</v>
      </c>
      <c r="C4" s="43">
        <v>1407</v>
      </c>
      <c r="D4" s="43">
        <v>1541</v>
      </c>
      <c r="E4" s="43">
        <v>1742</v>
      </c>
      <c r="F4" s="43">
        <v>3283</v>
      </c>
      <c r="G4" s="43">
        <v>4355</v>
      </c>
      <c r="H4" s="43">
        <v>5829</v>
      </c>
      <c r="I4" s="43">
        <v>4757</v>
      </c>
      <c r="J4" s="43">
        <v>3149</v>
      </c>
      <c r="K4" s="43">
        <v>3350</v>
      </c>
      <c r="L4" s="43">
        <v>2546</v>
      </c>
      <c r="M4" s="43">
        <v>1860</v>
      </c>
      <c r="N4" s="43">
        <f t="shared" ref="N4:N60" si="0">SUM(B4:M4)</f>
        <v>35092</v>
      </c>
      <c r="O4" s="44">
        <f t="shared" ref="O4:O60" si="1">N4/$N$60</f>
        <v>4.242132797179584E-2</v>
      </c>
    </row>
    <row r="5" spans="1:15" s="45" customFormat="1" x14ac:dyDescent="0.4">
      <c r="A5" s="42" t="s">
        <v>108</v>
      </c>
      <c r="B5" s="51"/>
      <c r="C5" s="51"/>
      <c r="D5" s="51"/>
      <c r="E5" s="51"/>
      <c r="F5" s="51">
        <v>114</v>
      </c>
      <c r="G5" s="51">
        <v>114</v>
      </c>
      <c r="H5" s="51">
        <v>76</v>
      </c>
      <c r="I5" s="51">
        <v>38</v>
      </c>
      <c r="J5" s="51"/>
      <c r="K5" s="51"/>
      <c r="L5" s="51"/>
      <c r="M5" s="51">
        <v>38</v>
      </c>
      <c r="N5" s="52">
        <f t="shared" si="0"/>
        <v>380</v>
      </c>
      <c r="O5" s="44">
        <f t="shared" si="1"/>
        <v>4.5936693916797045E-4</v>
      </c>
    </row>
    <row r="6" spans="1:15" s="45" customFormat="1" x14ac:dyDescent="0.4">
      <c r="A6" s="42" t="s">
        <v>154</v>
      </c>
      <c r="B6" s="51"/>
      <c r="C6" s="51"/>
      <c r="D6" s="51"/>
      <c r="E6" s="51"/>
      <c r="F6" s="51">
        <v>3078</v>
      </c>
      <c r="G6" s="51">
        <v>1881</v>
      </c>
      <c r="H6" s="51">
        <v>2508</v>
      </c>
      <c r="I6" s="51">
        <v>2052</v>
      </c>
      <c r="J6" s="51">
        <v>2337</v>
      </c>
      <c r="K6" s="51">
        <v>1254</v>
      </c>
      <c r="L6" s="51">
        <v>1425</v>
      </c>
      <c r="M6" s="51">
        <v>903</v>
      </c>
      <c r="N6" s="52">
        <f t="shared" si="0"/>
        <v>15438</v>
      </c>
      <c r="O6" s="44">
        <f t="shared" si="1"/>
        <v>1.8662386333881915E-2</v>
      </c>
    </row>
    <row r="7" spans="1:15" s="45" customFormat="1" x14ac:dyDescent="0.4">
      <c r="A7" s="42" t="s">
        <v>109</v>
      </c>
      <c r="B7" s="52">
        <v>5418</v>
      </c>
      <c r="C7" s="52">
        <v>4032</v>
      </c>
      <c r="D7" s="52">
        <v>4536</v>
      </c>
      <c r="E7" s="52">
        <v>4032</v>
      </c>
      <c r="F7" s="52">
        <v>6300</v>
      </c>
      <c r="G7" s="52">
        <v>5418</v>
      </c>
      <c r="H7" s="52">
        <v>6678</v>
      </c>
      <c r="I7" s="52">
        <v>6678</v>
      </c>
      <c r="J7" s="52">
        <v>5292</v>
      </c>
      <c r="K7" s="52">
        <v>5166</v>
      </c>
      <c r="L7" s="52">
        <v>3906</v>
      </c>
      <c r="M7" s="52">
        <v>1386</v>
      </c>
      <c r="N7" s="52">
        <f t="shared" si="0"/>
        <v>58842</v>
      </c>
      <c r="O7" s="44">
        <f t="shared" si="1"/>
        <v>7.1131761669794E-2</v>
      </c>
    </row>
    <row r="8" spans="1:15" s="45" customFormat="1" x14ac:dyDescent="0.4">
      <c r="A8" s="42" t="s">
        <v>110</v>
      </c>
      <c r="B8" s="52"/>
      <c r="C8" s="52"/>
      <c r="D8" s="52"/>
      <c r="E8" s="52"/>
      <c r="F8" s="52">
        <v>144</v>
      </c>
      <c r="G8" s="52"/>
      <c r="H8" s="52">
        <v>144</v>
      </c>
      <c r="I8" s="52">
        <v>72</v>
      </c>
      <c r="J8" s="52">
        <v>72</v>
      </c>
      <c r="K8" s="52">
        <v>72</v>
      </c>
      <c r="L8" s="52"/>
      <c r="M8" s="52"/>
      <c r="N8" s="52">
        <f t="shared" si="0"/>
        <v>504</v>
      </c>
      <c r="O8" s="44">
        <f t="shared" si="1"/>
        <v>6.0926562458067668E-4</v>
      </c>
    </row>
    <row r="9" spans="1:15" s="45" customFormat="1" x14ac:dyDescent="0.4">
      <c r="A9" s="42" t="s">
        <v>155</v>
      </c>
      <c r="B9" s="52"/>
      <c r="C9" s="52"/>
      <c r="D9" s="52"/>
      <c r="E9" s="52"/>
      <c r="F9" s="52">
        <v>7560</v>
      </c>
      <c r="G9" s="52">
        <v>3240</v>
      </c>
      <c r="H9" s="52">
        <v>4752</v>
      </c>
      <c r="I9" s="52">
        <v>3456</v>
      </c>
      <c r="J9" s="52">
        <v>3132</v>
      </c>
      <c r="K9" s="52">
        <v>3240</v>
      </c>
      <c r="L9" s="52">
        <v>1728</v>
      </c>
      <c r="M9" s="52">
        <v>540</v>
      </c>
      <c r="N9" s="52">
        <f t="shared" si="0"/>
        <v>27648</v>
      </c>
      <c r="O9" s="44">
        <f t="shared" si="1"/>
        <v>3.3422571405568549E-2</v>
      </c>
    </row>
    <row r="10" spans="1:15" s="45" customFormat="1" x14ac:dyDescent="0.4">
      <c r="A10" s="42" t="s">
        <v>132</v>
      </c>
      <c r="B10" s="52">
        <v>2499</v>
      </c>
      <c r="C10" s="52">
        <v>357</v>
      </c>
      <c r="D10" s="52">
        <v>3213</v>
      </c>
      <c r="E10" s="52">
        <v>1428</v>
      </c>
      <c r="F10" s="52">
        <v>1071</v>
      </c>
      <c r="G10" s="52">
        <v>2499</v>
      </c>
      <c r="H10" s="52">
        <v>2142</v>
      </c>
      <c r="I10" s="52">
        <v>2856</v>
      </c>
      <c r="J10" s="52">
        <v>4284</v>
      </c>
      <c r="K10" s="52">
        <v>714</v>
      </c>
      <c r="L10" s="52"/>
      <c r="M10" s="52"/>
      <c r="N10" s="52">
        <f t="shared" si="0"/>
        <v>21063</v>
      </c>
      <c r="O10" s="44">
        <f t="shared" si="1"/>
        <v>2.5462225893934112E-2</v>
      </c>
    </row>
    <row r="11" spans="1:15" s="45" customFormat="1" x14ac:dyDescent="0.4">
      <c r="A11" s="42" t="s">
        <v>150</v>
      </c>
      <c r="B11" s="52">
        <v>1224</v>
      </c>
      <c r="C11" s="52">
        <v>612</v>
      </c>
      <c r="D11" s="52">
        <v>408</v>
      </c>
      <c r="E11" s="52">
        <v>408</v>
      </c>
      <c r="F11" s="52">
        <v>1122</v>
      </c>
      <c r="G11" s="52">
        <v>204</v>
      </c>
      <c r="H11" s="52">
        <v>408</v>
      </c>
      <c r="I11" s="52">
        <v>1122</v>
      </c>
      <c r="J11" s="52">
        <v>918</v>
      </c>
      <c r="K11" s="52">
        <v>102</v>
      </c>
      <c r="L11" s="52"/>
      <c r="M11" s="52"/>
      <c r="N11" s="52">
        <f t="shared" si="0"/>
        <v>6528</v>
      </c>
      <c r="O11" s="44">
        <f t="shared" si="1"/>
        <v>7.8914404707592402E-3</v>
      </c>
    </row>
    <row r="12" spans="1:15" s="45" customFormat="1" x14ac:dyDescent="0.4">
      <c r="A12" s="42" t="s">
        <v>144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>
        <f t="shared" si="0"/>
        <v>0</v>
      </c>
      <c r="O12" s="44">
        <f t="shared" si="1"/>
        <v>0</v>
      </c>
    </row>
    <row r="13" spans="1:15" s="45" customFormat="1" x14ac:dyDescent="0.4">
      <c r="A13" s="42" t="s">
        <v>134</v>
      </c>
      <c r="B13" s="52">
        <v>630</v>
      </c>
      <c r="C13" s="52">
        <v>840</v>
      </c>
      <c r="D13" s="52">
        <v>630</v>
      </c>
      <c r="E13" s="52">
        <v>210</v>
      </c>
      <c r="F13" s="52">
        <v>1890</v>
      </c>
      <c r="G13" s="52">
        <v>1260</v>
      </c>
      <c r="H13" s="52">
        <v>1050</v>
      </c>
      <c r="I13" s="52">
        <v>1050</v>
      </c>
      <c r="J13" s="52">
        <v>1680</v>
      </c>
      <c r="K13" s="52">
        <v>840</v>
      </c>
      <c r="L13" s="52"/>
      <c r="M13" s="52"/>
      <c r="N13" s="52">
        <f t="shared" si="0"/>
        <v>10080</v>
      </c>
      <c r="O13" s="44">
        <f t="shared" si="1"/>
        <v>1.2185312491613533E-2</v>
      </c>
    </row>
    <row r="14" spans="1:15" s="45" customFormat="1" x14ac:dyDescent="0.4">
      <c r="A14" s="42" t="s">
        <v>135</v>
      </c>
      <c r="B14" s="52">
        <v>3360</v>
      </c>
      <c r="C14" s="52">
        <v>2016</v>
      </c>
      <c r="D14" s="52">
        <v>672</v>
      </c>
      <c r="E14" s="52">
        <v>2016</v>
      </c>
      <c r="F14" s="52">
        <v>2016</v>
      </c>
      <c r="G14" s="52">
        <v>2016</v>
      </c>
      <c r="H14" s="52">
        <v>2016</v>
      </c>
      <c r="I14" s="52"/>
      <c r="J14" s="52">
        <v>672</v>
      </c>
      <c r="K14" s="52"/>
      <c r="L14" s="52"/>
      <c r="M14" s="52"/>
      <c r="N14" s="52">
        <f t="shared" si="0"/>
        <v>14784</v>
      </c>
      <c r="O14" s="44">
        <f t="shared" si="1"/>
        <v>1.7871791654366514E-2</v>
      </c>
    </row>
    <row r="15" spans="1:15" s="45" customFormat="1" x14ac:dyDescent="0.4">
      <c r="A15" s="42" t="s">
        <v>136</v>
      </c>
      <c r="B15" s="52">
        <v>384</v>
      </c>
      <c r="C15" s="52">
        <v>576</v>
      </c>
      <c r="D15" s="52">
        <v>384</v>
      </c>
      <c r="E15" s="52">
        <v>192</v>
      </c>
      <c r="F15" s="52">
        <v>768</v>
      </c>
      <c r="G15" s="52">
        <v>768</v>
      </c>
      <c r="H15" s="52">
        <v>192</v>
      </c>
      <c r="I15" s="52"/>
      <c r="J15" s="52"/>
      <c r="K15" s="52"/>
      <c r="L15" s="52"/>
      <c r="M15" s="52"/>
      <c r="N15" s="52">
        <f t="shared" si="0"/>
        <v>3264</v>
      </c>
      <c r="O15" s="44">
        <f t="shared" si="1"/>
        <v>3.9457202353796201E-3</v>
      </c>
    </row>
    <row r="16" spans="1:15" s="45" customFormat="1" x14ac:dyDescent="0.4">
      <c r="A16" s="42" t="s">
        <v>137</v>
      </c>
      <c r="B16" s="52">
        <v>420</v>
      </c>
      <c r="C16" s="52"/>
      <c r="D16" s="52"/>
      <c r="E16" s="52">
        <v>840</v>
      </c>
      <c r="F16" s="52">
        <v>420</v>
      </c>
      <c r="G16" s="52"/>
      <c r="H16" s="52">
        <v>420</v>
      </c>
      <c r="I16" s="52"/>
      <c r="J16" s="52"/>
      <c r="K16" s="52"/>
      <c r="L16" s="52"/>
      <c r="M16" s="52"/>
      <c r="N16" s="52">
        <f t="shared" si="0"/>
        <v>2100</v>
      </c>
      <c r="O16" s="44">
        <f t="shared" si="1"/>
        <v>2.5386067690861525E-3</v>
      </c>
    </row>
    <row r="17" spans="1:15" s="45" customFormat="1" x14ac:dyDescent="0.4">
      <c r="A17" s="42" t="s">
        <v>145</v>
      </c>
      <c r="B17" s="52"/>
      <c r="C17" s="52"/>
      <c r="D17" s="52"/>
      <c r="E17" s="52"/>
      <c r="F17" s="52"/>
      <c r="G17" s="52">
        <v>384</v>
      </c>
      <c r="H17" s="52"/>
      <c r="I17" s="52"/>
      <c r="J17" s="52"/>
      <c r="K17" s="52"/>
      <c r="L17" s="52"/>
      <c r="M17" s="52"/>
      <c r="N17" s="52">
        <f t="shared" si="0"/>
        <v>384</v>
      </c>
      <c r="O17" s="44">
        <f t="shared" si="1"/>
        <v>4.642023806328965E-4</v>
      </c>
    </row>
    <row r="18" spans="1:15" s="45" customFormat="1" x14ac:dyDescent="0.4">
      <c r="A18" s="42" t="s">
        <v>146</v>
      </c>
      <c r="B18" s="52">
        <v>72</v>
      </c>
      <c r="C18" s="52">
        <v>225</v>
      </c>
      <c r="D18" s="52">
        <v>156</v>
      </c>
      <c r="E18" s="52">
        <v>225</v>
      </c>
      <c r="F18" s="52">
        <v>345</v>
      </c>
      <c r="G18" s="52"/>
      <c r="H18" s="52"/>
      <c r="I18" s="52"/>
      <c r="J18" s="52">
        <v>405</v>
      </c>
      <c r="K18" s="52">
        <v>267</v>
      </c>
      <c r="L18" s="52">
        <v>198</v>
      </c>
      <c r="M18" s="52">
        <v>126</v>
      </c>
      <c r="N18" s="52">
        <f t="shared" si="0"/>
        <v>2019</v>
      </c>
      <c r="O18" s="44">
        <f t="shared" si="1"/>
        <v>2.4406890794214011E-3</v>
      </c>
    </row>
    <row r="19" spans="1:15" s="45" customFormat="1" x14ac:dyDescent="0.4">
      <c r="A19" s="42" t="s">
        <v>156</v>
      </c>
      <c r="B19" s="52"/>
      <c r="C19" s="52"/>
      <c r="D19" s="52"/>
      <c r="E19" s="52"/>
      <c r="F19" s="52">
        <v>220</v>
      </c>
      <c r="G19" s="52">
        <v>716</v>
      </c>
      <c r="H19" s="52">
        <v>1496</v>
      </c>
      <c r="I19" s="52">
        <v>1408</v>
      </c>
      <c r="J19" s="52">
        <v>320</v>
      </c>
      <c r="K19" s="52"/>
      <c r="L19" s="52"/>
      <c r="M19" s="52"/>
      <c r="N19" s="52">
        <f t="shared" si="0"/>
        <v>4160</v>
      </c>
      <c r="O19" s="44">
        <f t="shared" si="1"/>
        <v>5.0288591235230452E-3</v>
      </c>
    </row>
    <row r="20" spans="1:15" s="45" customFormat="1" x14ac:dyDescent="0.4">
      <c r="A20" s="42" t="s">
        <v>111</v>
      </c>
      <c r="B20" s="52">
        <v>1935</v>
      </c>
      <c r="C20" s="52">
        <v>1575</v>
      </c>
      <c r="D20" s="52">
        <v>1485</v>
      </c>
      <c r="E20" s="52">
        <v>2610</v>
      </c>
      <c r="F20" s="52">
        <v>4635</v>
      </c>
      <c r="G20" s="52">
        <v>3780</v>
      </c>
      <c r="H20" s="52">
        <v>4230</v>
      </c>
      <c r="I20" s="52">
        <v>3555</v>
      </c>
      <c r="J20" s="52">
        <v>2700</v>
      </c>
      <c r="K20" s="52">
        <v>2745</v>
      </c>
      <c r="L20" s="52">
        <v>2655</v>
      </c>
      <c r="M20" s="52">
        <v>2250</v>
      </c>
      <c r="N20" s="52">
        <f t="shared" si="0"/>
        <v>34155</v>
      </c>
      <c r="O20" s="44">
        <f t="shared" si="1"/>
        <v>4.1288625808636924E-2</v>
      </c>
    </row>
    <row r="21" spans="1:15" s="45" customFormat="1" x14ac:dyDescent="0.4">
      <c r="A21" s="42" t="s">
        <v>157</v>
      </c>
      <c r="B21" s="52"/>
      <c r="C21" s="52"/>
      <c r="D21" s="52"/>
      <c r="E21" s="52"/>
      <c r="F21" s="52">
        <v>5118</v>
      </c>
      <c r="G21" s="52">
        <v>10665</v>
      </c>
      <c r="H21" s="52">
        <v>15690</v>
      </c>
      <c r="I21" s="52">
        <v>16125</v>
      </c>
      <c r="J21" s="52">
        <v>3150</v>
      </c>
      <c r="K21" s="52"/>
      <c r="L21" s="52"/>
      <c r="M21" s="52"/>
      <c r="N21" s="52">
        <f t="shared" si="0"/>
        <v>50748</v>
      </c>
      <c r="O21" s="44">
        <f t="shared" si="1"/>
        <v>6.1347245865516223E-2</v>
      </c>
    </row>
    <row r="22" spans="1:15" s="45" customFormat="1" x14ac:dyDescent="0.4">
      <c r="A22" s="42" t="s">
        <v>4</v>
      </c>
      <c r="B22" s="52">
        <v>5272</v>
      </c>
      <c r="C22" s="52">
        <v>5712</v>
      </c>
      <c r="D22" s="52">
        <v>6208</v>
      </c>
      <c r="E22" s="52">
        <v>6034</v>
      </c>
      <c r="F22" s="52">
        <v>5764</v>
      </c>
      <c r="G22" s="52"/>
      <c r="H22" s="52"/>
      <c r="I22" s="52"/>
      <c r="J22" s="52">
        <v>4258</v>
      </c>
      <c r="K22" s="52">
        <v>5324</v>
      </c>
      <c r="L22" s="52">
        <v>5220</v>
      </c>
      <c r="M22" s="52">
        <v>4354</v>
      </c>
      <c r="N22" s="52">
        <f t="shared" si="0"/>
        <v>48146</v>
      </c>
      <c r="O22" s="44">
        <f t="shared" si="1"/>
        <v>5.8201791192581856E-2</v>
      </c>
    </row>
    <row r="23" spans="1:15" s="45" customFormat="1" x14ac:dyDescent="0.4">
      <c r="A23" s="42" t="s">
        <v>129</v>
      </c>
      <c r="B23" s="52">
        <v>22155</v>
      </c>
      <c r="C23" s="52">
        <v>23233</v>
      </c>
      <c r="D23" s="52">
        <v>24843</v>
      </c>
      <c r="E23" s="52">
        <v>23625</v>
      </c>
      <c r="F23" s="52">
        <v>5397</v>
      </c>
      <c r="G23" s="52"/>
      <c r="H23" s="52"/>
      <c r="I23" s="52"/>
      <c r="J23" s="52">
        <v>13552</v>
      </c>
      <c r="K23" s="52">
        <v>20902</v>
      </c>
      <c r="L23" s="52">
        <v>20594</v>
      </c>
      <c r="M23" s="52">
        <v>19824</v>
      </c>
      <c r="N23" s="52">
        <f t="shared" si="0"/>
        <v>174125</v>
      </c>
      <c r="O23" s="44">
        <f t="shared" si="1"/>
        <v>0.21049281127006014</v>
      </c>
    </row>
    <row r="24" spans="1:15" s="45" customFormat="1" x14ac:dyDescent="0.4">
      <c r="A24" s="42" t="s">
        <v>113</v>
      </c>
      <c r="B24" s="52"/>
      <c r="C24" s="52"/>
      <c r="D24" s="52"/>
      <c r="E24" s="52"/>
      <c r="F24" s="52">
        <v>11844</v>
      </c>
      <c r="G24" s="52">
        <v>25875</v>
      </c>
      <c r="H24" s="52">
        <v>33480</v>
      </c>
      <c r="I24" s="52">
        <v>36315</v>
      </c>
      <c r="J24" s="52">
        <v>8055</v>
      </c>
      <c r="K24" s="52"/>
      <c r="L24" s="52"/>
      <c r="M24" s="52"/>
      <c r="N24" s="52">
        <f t="shared" si="0"/>
        <v>115569</v>
      </c>
      <c r="O24" s="44">
        <f t="shared" si="1"/>
        <v>0.13970678366500835</v>
      </c>
    </row>
    <row r="25" spans="1:15" s="45" customFormat="1" x14ac:dyDescent="0.4">
      <c r="A25" s="42" t="s">
        <v>114</v>
      </c>
      <c r="B25" s="52">
        <v>15</v>
      </c>
      <c r="C25" s="52">
        <v>15</v>
      </c>
      <c r="D25" s="52">
        <v>15</v>
      </c>
      <c r="E25" s="52">
        <v>15</v>
      </c>
      <c r="F25" s="52">
        <v>15</v>
      </c>
      <c r="G25" s="52">
        <v>430</v>
      </c>
      <c r="H25" s="52">
        <v>830</v>
      </c>
      <c r="I25" s="52"/>
      <c r="J25" s="52">
        <v>100</v>
      </c>
      <c r="K25" s="52"/>
      <c r="L25" s="52"/>
      <c r="M25" s="52">
        <v>315</v>
      </c>
      <c r="N25" s="52">
        <f t="shared" si="0"/>
        <v>1750</v>
      </c>
      <c r="O25" s="44">
        <f t="shared" si="1"/>
        <v>2.1155056409051273E-3</v>
      </c>
    </row>
    <row r="26" spans="1:15" s="45" customFormat="1" x14ac:dyDescent="0.4">
      <c r="A26" s="42" t="s">
        <v>158</v>
      </c>
      <c r="B26" s="52"/>
      <c r="C26" s="52"/>
      <c r="D26" s="52"/>
      <c r="E26" s="52"/>
      <c r="F26" s="52">
        <v>174</v>
      </c>
      <c r="G26" s="52">
        <v>486</v>
      </c>
      <c r="H26" s="52">
        <v>660</v>
      </c>
      <c r="I26" s="52">
        <v>606</v>
      </c>
      <c r="J26" s="52">
        <v>60</v>
      </c>
      <c r="K26" s="52"/>
      <c r="L26" s="52"/>
      <c r="M26" s="52"/>
      <c r="N26" s="52">
        <f t="shared" si="0"/>
        <v>1986</v>
      </c>
      <c r="O26" s="44">
        <f t="shared" si="1"/>
        <v>2.4007966873357614E-3</v>
      </c>
    </row>
    <row r="27" spans="1:15" s="45" customFormat="1" x14ac:dyDescent="0.4">
      <c r="A27" s="42" t="s">
        <v>115</v>
      </c>
      <c r="B27" s="52">
        <v>80</v>
      </c>
      <c r="C27" s="52">
        <v>108</v>
      </c>
      <c r="D27" s="52">
        <v>76</v>
      </c>
      <c r="E27" s="52">
        <v>156</v>
      </c>
      <c r="F27" s="52">
        <v>172</v>
      </c>
      <c r="G27" s="52"/>
      <c r="H27" s="52"/>
      <c r="I27" s="52"/>
      <c r="J27" s="52">
        <v>344</v>
      </c>
      <c r="K27" s="52">
        <v>128</v>
      </c>
      <c r="L27" s="52">
        <v>124</v>
      </c>
      <c r="M27" s="52">
        <v>56</v>
      </c>
      <c r="N27" s="52">
        <f t="shared" si="0"/>
        <v>1244</v>
      </c>
      <c r="O27" s="44">
        <f t="shared" si="1"/>
        <v>1.5038222955919874E-3</v>
      </c>
    </row>
    <row r="28" spans="1:15" s="45" customFormat="1" x14ac:dyDescent="0.4">
      <c r="A28" s="42" t="s">
        <v>10</v>
      </c>
      <c r="B28" s="52">
        <v>115.5</v>
      </c>
      <c r="C28" s="52">
        <v>88</v>
      </c>
      <c r="D28" s="52">
        <v>104.5</v>
      </c>
      <c r="E28" s="52">
        <v>99</v>
      </c>
      <c r="F28" s="52">
        <v>115.5</v>
      </c>
      <c r="G28" s="52">
        <v>71.5</v>
      </c>
      <c r="H28" s="52"/>
      <c r="I28" s="52"/>
      <c r="J28" s="52">
        <v>110</v>
      </c>
      <c r="K28" s="52">
        <v>121</v>
      </c>
      <c r="L28" s="52">
        <v>93.5</v>
      </c>
      <c r="M28" s="52">
        <v>66</v>
      </c>
      <c r="N28" s="52">
        <f t="shared" si="0"/>
        <v>984.5</v>
      </c>
      <c r="O28" s="44">
        <f t="shared" si="1"/>
        <v>1.1901230305549129E-3</v>
      </c>
    </row>
    <row r="29" spans="1:15" s="45" customFormat="1" x14ac:dyDescent="0.4">
      <c r="A29" s="42" t="s">
        <v>11</v>
      </c>
      <c r="B29" s="52">
        <v>26.25</v>
      </c>
      <c r="C29" s="52">
        <v>7.5</v>
      </c>
      <c r="D29" s="52">
        <v>11.25</v>
      </c>
      <c r="E29" s="52">
        <v>41.5</v>
      </c>
      <c r="F29" s="52">
        <v>93.75</v>
      </c>
      <c r="G29" s="52">
        <v>30</v>
      </c>
      <c r="H29" s="52">
        <v>37.5</v>
      </c>
      <c r="I29" s="52">
        <v>112.5</v>
      </c>
      <c r="J29" s="52">
        <v>75</v>
      </c>
      <c r="K29" s="52">
        <v>45</v>
      </c>
      <c r="L29" s="52">
        <v>7.5</v>
      </c>
      <c r="M29" s="52">
        <v>7.5</v>
      </c>
      <c r="N29" s="52">
        <f t="shared" si="0"/>
        <v>495.25</v>
      </c>
      <c r="O29" s="44">
        <f t="shared" si="1"/>
        <v>5.9868809637615098E-4</v>
      </c>
    </row>
    <row r="30" spans="1:15" s="45" customFormat="1" x14ac:dyDescent="0.4">
      <c r="A30" s="42" t="s">
        <v>116</v>
      </c>
      <c r="B30" s="52">
        <v>800</v>
      </c>
      <c r="C30" s="52">
        <v>947</v>
      </c>
      <c r="D30" s="52">
        <v>1022</v>
      </c>
      <c r="E30" s="52">
        <v>1101</v>
      </c>
      <c r="F30" s="52">
        <v>874</v>
      </c>
      <c r="G30" s="52"/>
      <c r="H30" s="52"/>
      <c r="I30" s="52"/>
      <c r="J30" s="52">
        <v>771</v>
      </c>
      <c r="K30" s="52">
        <v>1075</v>
      </c>
      <c r="L30" s="52">
        <v>1090</v>
      </c>
      <c r="M30" s="52">
        <v>801</v>
      </c>
      <c r="N30" s="52">
        <f t="shared" si="0"/>
        <v>8481</v>
      </c>
      <c r="O30" s="44">
        <f t="shared" si="1"/>
        <v>1.0252344766009362E-2</v>
      </c>
    </row>
    <row r="31" spans="1:15" s="45" customFormat="1" x14ac:dyDescent="0.4">
      <c r="A31" s="42" t="s">
        <v>159</v>
      </c>
      <c r="B31" s="52"/>
      <c r="C31" s="52"/>
      <c r="D31" s="52"/>
      <c r="E31" s="52"/>
      <c r="F31" s="52">
        <v>2422.5</v>
      </c>
      <c r="G31" s="52">
        <v>4230</v>
      </c>
      <c r="H31" s="52">
        <v>5137.5</v>
      </c>
      <c r="I31" s="52">
        <v>4860</v>
      </c>
      <c r="J31" s="52">
        <v>1327.5</v>
      </c>
      <c r="K31" s="52"/>
      <c r="L31" s="52"/>
      <c r="M31" s="52"/>
      <c r="N31" s="52">
        <f t="shared" si="0"/>
        <v>17977.5</v>
      </c>
      <c r="O31" s="44">
        <f t="shared" si="1"/>
        <v>2.1732287233926815E-2</v>
      </c>
    </row>
    <row r="32" spans="1:15" s="45" customFormat="1" x14ac:dyDescent="0.4">
      <c r="A32" s="42" t="s">
        <v>160</v>
      </c>
      <c r="B32" s="52">
        <v>5519.5</v>
      </c>
      <c r="C32" s="52">
        <v>5376</v>
      </c>
      <c r="D32" s="52">
        <v>6114.5</v>
      </c>
      <c r="E32" s="52">
        <v>6247.5</v>
      </c>
      <c r="F32" s="52">
        <v>1505</v>
      </c>
      <c r="G32" s="52"/>
      <c r="H32" s="52"/>
      <c r="I32" s="52"/>
      <c r="J32" s="52">
        <v>2562</v>
      </c>
      <c r="K32" s="52">
        <v>3648</v>
      </c>
      <c r="L32" s="52">
        <v>3786</v>
      </c>
      <c r="M32" s="52">
        <v>3822</v>
      </c>
      <c r="N32" s="52">
        <f t="shared" si="0"/>
        <v>38580.5</v>
      </c>
      <c r="O32" s="44">
        <f t="shared" si="1"/>
        <v>4.6638437359394436E-2</v>
      </c>
    </row>
    <row r="33" spans="1:15" s="45" customFormat="1" x14ac:dyDescent="0.4">
      <c r="A33" s="42" t="s">
        <v>152</v>
      </c>
      <c r="B33" s="52"/>
      <c r="C33" s="52">
        <v>4</v>
      </c>
      <c r="D33" s="52"/>
      <c r="E33" s="52">
        <v>2</v>
      </c>
      <c r="F33" s="52">
        <v>10</v>
      </c>
      <c r="G33" s="52"/>
      <c r="H33" s="52"/>
      <c r="I33" s="52"/>
      <c r="J33" s="52">
        <v>46</v>
      </c>
      <c r="K33" s="52">
        <v>34</v>
      </c>
      <c r="L33" s="52">
        <v>6</v>
      </c>
      <c r="M33" s="52">
        <v>2</v>
      </c>
      <c r="N33" s="52">
        <f t="shared" si="0"/>
        <v>104</v>
      </c>
      <c r="O33" s="44">
        <f t="shared" si="1"/>
        <v>1.2572147808807612E-4</v>
      </c>
    </row>
    <row r="34" spans="1:15" s="45" customFormat="1" x14ac:dyDescent="0.4">
      <c r="A34" s="42" t="s">
        <v>161</v>
      </c>
      <c r="B34" s="52"/>
      <c r="C34" s="52"/>
      <c r="D34" s="52"/>
      <c r="E34" s="52"/>
      <c r="F34" s="52">
        <v>1129.5</v>
      </c>
      <c r="G34" s="52">
        <v>2682</v>
      </c>
      <c r="H34" s="52">
        <v>4588.5</v>
      </c>
      <c r="I34" s="52">
        <v>4515</v>
      </c>
      <c r="J34" s="52">
        <v>606</v>
      </c>
      <c r="K34" s="52"/>
      <c r="L34" s="52"/>
      <c r="M34" s="52"/>
      <c r="N34" s="52">
        <f t="shared" si="0"/>
        <v>13521</v>
      </c>
      <c r="O34" s="44">
        <f t="shared" si="1"/>
        <v>1.6345001011816129E-2</v>
      </c>
    </row>
    <row r="35" spans="1:15" s="45" customFormat="1" x14ac:dyDescent="0.4">
      <c r="A35" s="42" t="s">
        <v>140</v>
      </c>
      <c r="B35" s="52">
        <v>20</v>
      </c>
      <c r="C35" s="52">
        <v>28</v>
      </c>
      <c r="D35" s="52">
        <v>32</v>
      </c>
      <c r="E35" s="52">
        <v>32</v>
      </c>
      <c r="F35" s="52">
        <v>34</v>
      </c>
      <c r="G35" s="52"/>
      <c r="H35" s="52"/>
      <c r="I35" s="52"/>
      <c r="J35" s="52">
        <v>44</v>
      </c>
      <c r="K35" s="52">
        <v>42</v>
      </c>
      <c r="L35" s="52">
        <v>16</v>
      </c>
      <c r="M35" s="52">
        <v>6</v>
      </c>
      <c r="N35" s="52">
        <f t="shared" si="0"/>
        <v>254</v>
      </c>
      <c r="O35" s="44">
        <f t="shared" si="1"/>
        <v>3.0705053302280131E-4</v>
      </c>
    </row>
    <row r="36" spans="1:15" s="45" customFormat="1" x14ac:dyDescent="0.4">
      <c r="A36" s="42" t="s">
        <v>172</v>
      </c>
      <c r="B36" s="52"/>
      <c r="C36" s="52"/>
      <c r="D36" s="52"/>
      <c r="E36" s="52"/>
      <c r="F36" s="52">
        <v>29.5</v>
      </c>
      <c r="G36" s="52">
        <v>76</v>
      </c>
      <c r="H36" s="52">
        <v>44</v>
      </c>
      <c r="I36" s="52">
        <v>28</v>
      </c>
      <c r="J36" s="52">
        <v>16</v>
      </c>
      <c r="K36" s="52"/>
      <c r="L36" s="52"/>
      <c r="M36" s="52"/>
      <c r="N36" s="52">
        <f t="shared" si="0"/>
        <v>193.5</v>
      </c>
      <c r="O36" s="44">
        <f t="shared" si="1"/>
        <v>2.339144808657955E-4</v>
      </c>
    </row>
    <row r="37" spans="1:15" s="45" customFormat="1" x14ac:dyDescent="0.4">
      <c r="A37" s="42" t="s">
        <v>14</v>
      </c>
      <c r="B37" s="52">
        <v>115</v>
      </c>
      <c r="C37" s="52">
        <v>92</v>
      </c>
      <c r="D37" s="52">
        <v>69</v>
      </c>
      <c r="E37" s="52">
        <v>138</v>
      </c>
      <c r="F37" s="52">
        <v>299</v>
      </c>
      <c r="G37" s="52">
        <v>483</v>
      </c>
      <c r="H37" s="52">
        <v>345</v>
      </c>
      <c r="I37" s="52">
        <v>368</v>
      </c>
      <c r="J37" s="52">
        <v>46</v>
      </c>
      <c r="K37" s="52">
        <v>92</v>
      </c>
      <c r="L37" s="52">
        <v>138</v>
      </c>
      <c r="M37" s="52">
        <v>115</v>
      </c>
      <c r="N37" s="52">
        <f t="shared" si="0"/>
        <v>2300</v>
      </c>
      <c r="O37" s="44">
        <f t="shared" si="1"/>
        <v>2.7803788423324529E-3</v>
      </c>
    </row>
    <row r="38" spans="1:15" s="45" customFormat="1" x14ac:dyDescent="0.4">
      <c r="A38" s="42" t="s">
        <v>162</v>
      </c>
      <c r="B38" s="52"/>
      <c r="C38" s="52"/>
      <c r="D38" s="52"/>
      <c r="E38" s="52"/>
      <c r="F38" s="52">
        <v>24</v>
      </c>
      <c r="G38" s="52">
        <v>150</v>
      </c>
      <c r="H38" s="52">
        <v>336</v>
      </c>
      <c r="I38" s="52">
        <v>342</v>
      </c>
      <c r="J38" s="52">
        <v>60</v>
      </c>
      <c r="K38" s="52"/>
      <c r="L38" s="52"/>
      <c r="M38" s="52"/>
      <c r="N38" s="52">
        <f t="shared" si="0"/>
        <v>912</v>
      </c>
      <c r="O38" s="44">
        <f t="shared" si="1"/>
        <v>1.1024806540031291E-3</v>
      </c>
    </row>
    <row r="39" spans="1:15" s="45" customFormat="1" x14ac:dyDescent="0.4">
      <c r="A39" s="42" t="s">
        <v>173</v>
      </c>
      <c r="B39" s="52"/>
      <c r="C39" s="52"/>
      <c r="D39" s="52"/>
      <c r="E39" s="52"/>
      <c r="F39" s="52"/>
      <c r="G39" s="52"/>
      <c r="H39" s="52">
        <v>3.75</v>
      </c>
      <c r="I39" s="52"/>
      <c r="J39" s="52"/>
      <c r="K39" s="52"/>
      <c r="L39" s="52"/>
      <c r="M39" s="52"/>
      <c r="N39" s="52">
        <f t="shared" si="0"/>
        <v>3.75</v>
      </c>
      <c r="O39" s="44"/>
    </row>
    <row r="40" spans="1:15" s="45" customFormat="1" x14ac:dyDescent="0.4">
      <c r="A40" s="42" t="s">
        <v>163</v>
      </c>
      <c r="B40" s="52"/>
      <c r="C40" s="52"/>
      <c r="D40" s="52"/>
      <c r="E40" s="52"/>
      <c r="F40" s="52">
        <v>1397</v>
      </c>
      <c r="G40" s="52">
        <v>2761</v>
      </c>
      <c r="H40" s="52">
        <v>4356</v>
      </c>
      <c r="I40" s="52">
        <v>3916</v>
      </c>
      <c r="J40" s="52">
        <v>1331</v>
      </c>
      <c r="K40" s="52"/>
      <c r="L40" s="52"/>
      <c r="M40" s="52"/>
      <c r="N40" s="52">
        <f t="shared" si="0"/>
        <v>13761</v>
      </c>
      <c r="O40" s="44">
        <f t="shared" si="1"/>
        <v>1.6635127499711688E-2</v>
      </c>
    </row>
    <row r="41" spans="1:15" s="45" customFormat="1" x14ac:dyDescent="0.4">
      <c r="A41" s="42" t="s">
        <v>164</v>
      </c>
      <c r="B41" s="52"/>
      <c r="C41" s="52"/>
      <c r="D41" s="52"/>
      <c r="E41" s="52"/>
      <c r="F41" s="52">
        <v>896</v>
      </c>
      <c r="G41" s="52">
        <v>3072</v>
      </c>
      <c r="H41" s="52">
        <v>2176</v>
      </c>
      <c r="I41" s="52">
        <v>2080</v>
      </c>
      <c r="J41" s="52">
        <v>624</v>
      </c>
      <c r="K41" s="52"/>
      <c r="L41" s="52"/>
      <c r="M41" s="52"/>
      <c r="N41" s="52">
        <f t="shared" si="0"/>
        <v>8848</v>
      </c>
      <c r="O41" s="44">
        <f t="shared" si="1"/>
        <v>1.0695996520416324E-2</v>
      </c>
    </row>
    <row r="42" spans="1:15" s="45" customFormat="1" x14ac:dyDescent="0.4">
      <c r="A42" s="42" t="s">
        <v>165</v>
      </c>
      <c r="B42" s="52"/>
      <c r="C42" s="52"/>
      <c r="D42" s="52"/>
      <c r="E42" s="52"/>
      <c r="F42" s="52">
        <v>441</v>
      </c>
      <c r="G42" s="52">
        <v>1218</v>
      </c>
      <c r="H42" s="52">
        <v>1743</v>
      </c>
      <c r="I42" s="52">
        <v>1638</v>
      </c>
      <c r="J42" s="52">
        <v>315</v>
      </c>
      <c r="K42" s="52"/>
      <c r="L42" s="52"/>
      <c r="M42" s="52"/>
      <c r="N42" s="52">
        <f t="shared" si="0"/>
        <v>5355</v>
      </c>
      <c r="O42" s="44">
        <f t="shared" si="1"/>
        <v>6.4734472611696894E-3</v>
      </c>
    </row>
    <row r="43" spans="1:15" s="45" customFormat="1" x14ac:dyDescent="0.4">
      <c r="A43" s="42" t="s">
        <v>166</v>
      </c>
      <c r="B43" s="52"/>
      <c r="C43" s="52"/>
      <c r="D43" s="52"/>
      <c r="E43" s="52"/>
      <c r="F43" s="52">
        <v>783</v>
      </c>
      <c r="G43" s="52">
        <v>2025</v>
      </c>
      <c r="H43" s="52">
        <v>3240</v>
      </c>
      <c r="I43" s="52">
        <v>2943</v>
      </c>
      <c r="J43" s="52">
        <v>999</v>
      </c>
      <c r="K43" s="52"/>
      <c r="L43" s="52"/>
      <c r="M43" s="52"/>
      <c r="N43" s="52">
        <f t="shared" si="0"/>
        <v>9990</v>
      </c>
      <c r="O43" s="44">
        <f t="shared" si="1"/>
        <v>1.2076515058652697E-2</v>
      </c>
    </row>
    <row r="44" spans="1:15" s="45" customFormat="1" x14ac:dyDescent="0.4">
      <c r="A44" s="42" t="s">
        <v>167</v>
      </c>
      <c r="B44" s="52"/>
      <c r="C44" s="52"/>
      <c r="D44" s="52"/>
      <c r="E44" s="52"/>
      <c r="F44" s="52">
        <v>440</v>
      </c>
      <c r="G44" s="52">
        <v>1156</v>
      </c>
      <c r="H44" s="52">
        <v>1462</v>
      </c>
      <c r="I44" s="52">
        <v>1292</v>
      </c>
      <c r="J44" s="52">
        <v>238</v>
      </c>
      <c r="K44" s="52"/>
      <c r="L44" s="52"/>
      <c r="M44" s="52"/>
      <c r="N44" s="52">
        <f t="shared" si="0"/>
        <v>4588</v>
      </c>
      <c r="O44" s="44">
        <f t="shared" si="1"/>
        <v>5.5462513602701274E-3</v>
      </c>
    </row>
    <row r="45" spans="1:15" s="45" customFormat="1" x14ac:dyDescent="0.4">
      <c r="A45" s="42" t="s">
        <v>168</v>
      </c>
      <c r="B45" s="52"/>
      <c r="C45" s="52"/>
      <c r="D45" s="52"/>
      <c r="E45" s="52"/>
      <c r="F45" s="52">
        <v>126</v>
      </c>
      <c r="G45" s="52">
        <v>546</v>
      </c>
      <c r="H45" s="52">
        <v>840</v>
      </c>
      <c r="I45" s="52">
        <v>714</v>
      </c>
      <c r="J45" s="52">
        <v>336</v>
      </c>
      <c r="K45" s="52"/>
      <c r="L45" s="52"/>
      <c r="M45" s="52"/>
      <c r="N45" s="52">
        <f t="shared" si="0"/>
        <v>2562</v>
      </c>
      <c r="O45" s="44">
        <f t="shared" si="1"/>
        <v>3.0971002582851062E-3</v>
      </c>
    </row>
    <row r="46" spans="1:15" s="45" customFormat="1" x14ac:dyDescent="0.4">
      <c r="A46" s="42" t="s">
        <v>169</v>
      </c>
      <c r="B46" s="52"/>
      <c r="C46" s="52"/>
      <c r="D46" s="52"/>
      <c r="E46" s="52"/>
      <c r="F46" s="52">
        <v>204</v>
      </c>
      <c r="G46" s="52">
        <v>102</v>
      </c>
      <c r="H46" s="52">
        <v>459</v>
      </c>
      <c r="I46" s="52">
        <v>306</v>
      </c>
      <c r="J46" s="52">
        <v>102</v>
      </c>
      <c r="K46" s="52"/>
      <c r="L46" s="52"/>
      <c r="M46" s="52"/>
      <c r="N46" s="52">
        <f t="shared" si="0"/>
        <v>1173</v>
      </c>
      <c r="O46" s="44">
        <f t="shared" si="1"/>
        <v>1.417993209589551E-3</v>
      </c>
    </row>
    <row r="47" spans="1:15" s="45" customFormat="1" x14ac:dyDescent="0.4">
      <c r="A47" s="42" t="s">
        <v>170</v>
      </c>
      <c r="B47" s="52"/>
      <c r="C47" s="52"/>
      <c r="D47" s="52"/>
      <c r="E47" s="52"/>
      <c r="F47" s="52"/>
      <c r="G47" s="52">
        <v>60</v>
      </c>
      <c r="H47" s="52">
        <v>300</v>
      </c>
      <c r="I47" s="52">
        <v>180</v>
      </c>
      <c r="J47" s="52">
        <v>120</v>
      </c>
      <c r="K47" s="52"/>
      <c r="L47" s="52"/>
      <c r="M47" s="52"/>
      <c r="N47" s="52">
        <f t="shared" si="0"/>
        <v>660</v>
      </c>
      <c r="O47" s="44">
        <f t="shared" si="1"/>
        <v>7.978478417127908E-4</v>
      </c>
    </row>
    <row r="48" spans="1:15" s="45" customFormat="1" x14ac:dyDescent="0.4">
      <c r="A48" s="42" t="s">
        <v>171</v>
      </c>
      <c r="B48" s="52"/>
      <c r="C48" s="52"/>
      <c r="D48" s="52"/>
      <c r="E48" s="52"/>
      <c r="F48" s="52">
        <v>1349</v>
      </c>
      <c r="G48" s="52">
        <v>355</v>
      </c>
      <c r="H48" s="52">
        <v>497</v>
      </c>
      <c r="I48" s="52">
        <v>923</v>
      </c>
      <c r="J48" s="52">
        <v>71</v>
      </c>
      <c r="K48" s="52"/>
      <c r="L48" s="52"/>
      <c r="M48" s="52"/>
      <c r="N48" s="52">
        <f t="shared" si="0"/>
        <v>3195</v>
      </c>
      <c r="O48" s="44">
        <f t="shared" si="1"/>
        <v>3.8623088701096463E-3</v>
      </c>
    </row>
    <row r="49" spans="1:15" s="45" customFormat="1" x14ac:dyDescent="0.4">
      <c r="A49" s="42" t="s">
        <v>118</v>
      </c>
      <c r="B49" s="52">
        <v>2448</v>
      </c>
      <c r="C49" s="52">
        <v>2286</v>
      </c>
      <c r="D49" s="52">
        <v>2493</v>
      </c>
      <c r="E49" s="52">
        <v>2106</v>
      </c>
      <c r="F49" s="52">
        <v>531</v>
      </c>
      <c r="G49" s="52"/>
      <c r="H49" s="52"/>
      <c r="I49" s="52"/>
      <c r="J49" s="52">
        <v>1827</v>
      </c>
      <c r="K49" s="52">
        <v>2700</v>
      </c>
      <c r="L49" s="52">
        <v>1917</v>
      </c>
      <c r="M49" s="52">
        <v>2286</v>
      </c>
      <c r="N49" s="52">
        <f t="shared" si="0"/>
        <v>18594</v>
      </c>
      <c r="O49" s="44">
        <f t="shared" si="1"/>
        <v>2.2477549649708533E-2</v>
      </c>
    </row>
    <row r="50" spans="1:15" s="45" customFormat="1" x14ac:dyDescent="0.4">
      <c r="A50" s="42" t="s">
        <v>119</v>
      </c>
      <c r="B50" s="52">
        <v>1344</v>
      </c>
      <c r="C50" s="52">
        <v>994</v>
      </c>
      <c r="D50" s="52">
        <v>868</v>
      </c>
      <c r="E50" s="52">
        <v>1666</v>
      </c>
      <c r="F50" s="52">
        <v>448</v>
      </c>
      <c r="G50" s="52"/>
      <c r="H50" s="52"/>
      <c r="I50" s="52"/>
      <c r="J50" s="52">
        <v>1218</v>
      </c>
      <c r="K50" s="52">
        <v>2240</v>
      </c>
      <c r="L50" s="52">
        <v>1246</v>
      </c>
      <c r="M50" s="52">
        <v>1260</v>
      </c>
      <c r="N50" s="52">
        <f t="shared" si="0"/>
        <v>11284</v>
      </c>
      <c r="O50" s="44">
        <f t="shared" si="1"/>
        <v>1.364078037255626E-2</v>
      </c>
    </row>
    <row r="51" spans="1:15" s="45" customFormat="1" x14ac:dyDescent="0.4">
      <c r="A51" s="42" t="s">
        <v>120</v>
      </c>
      <c r="B51" s="52">
        <v>551</v>
      </c>
      <c r="C51" s="52">
        <v>608</v>
      </c>
      <c r="D51" s="52">
        <v>551</v>
      </c>
      <c r="E51" s="52">
        <v>893</v>
      </c>
      <c r="F51" s="52">
        <v>228</v>
      </c>
      <c r="G51" s="52"/>
      <c r="H51" s="52"/>
      <c r="I51" s="52"/>
      <c r="J51" s="52">
        <v>627</v>
      </c>
      <c r="K51" s="52">
        <v>912</v>
      </c>
      <c r="L51" s="52">
        <v>912</v>
      </c>
      <c r="M51" s="52">
        <v>475</v>
      </c>
      <c r="N51" s="52">
        <f t="shared" si="0"/>
        <v>5757</v>
      </c>
      <c r="O51" s="44">
        <f t="shared" si="1"/>
        <v>6.9594091283947529E-3</v>
      </c>
    </row>
    <row r="52" spans="1:15" s="45" customFormat="1" x14ac:dyDescent="0.4">
      <c r="A52" s="42" t="s">
        <v>121</v>
      </c>
      <c r="B52" s="52">
        <v>625</v>
      </c>
      <c r="C52" s="52">
        <v>925</v>
      </c>
      <c r="D52" s="52">
        <v>1125</v>
      </c>
      <c r="E52" s="52">
        <v>1325</v>
      </c>
      <c r="F52" s="52">
        <v>300</v>
      </c>
      <c r="G52" s="52"/>
      <c r="H52" s="52"/>
      <c r="I52" s="52"/>
      <c r="J52" s="52">
        <v>1400</v>
      </c>
      <c r="K52" s="52">
        <v>1450</v>
      </c>
      <c r="L52" s="52">
        <v>1025</v>
      </c>
      <c r="M52" s="52">
        <v>825</v>
      </c>
      <c r="N52" s="52">
        <f t="shared" si="0"/>
        <v>9000</v>
      </c>
      <c r="O52" s="44">
        <f t="shared" si="1"/>
        <v>1.0879743296083511E-2</v>
      </c>
    </row>
    <row r="53" spans="1:15" s="45" customFormat="1" x14ac:dyDescent="0.4">
      <c r="A53" s="42" t="s">
        <v>122</v>
      </c>
      <c r="B53" s="52">
        <v>320</v>
      </c>
      <c r="C53" s="52">
        <v>736</v>
      </c>
      <c r="D53" s="52">
        <v>576</v>
      </c>
      <c r="E53" s="52">
        <v>896</v>
      </c>
      <c r="F53" s="52">
        <v>256</v>
      </c>
      <c r="G53" s="52"/>
      <c r="H53" s="52"/>
      <c r="I53" s="52"/>
      <c r="J53" s="52">
        <v>544</v>
      </c>
      <c r="K53" s="52">
        <v>1056</v>
      </c>
      <c r="L53" s="52">
        <v>736</v>
      </c>
      <c r="M53" s="52">
        <v>384</v>
      </c>
      <c r="N53" s="52">
        <f t="shared" si="0"/>
        <v>5504</v>
      </c>
      <c r="O53" s="44">
        <f t="shared" si="1"/>
        <v>6.6535674557381833E-3</v>
      </c>
    </row>
    <row r="54" spans="1:15" s="45" customFormat="1" x14ac:dyDescent="0.4">
      <c r="A54" s="42" t="s">
        <v>123</v>
      </c>
      <c r="B54" s="52">
        <v>200</v>
      </c>
      <c r="C54" s="52">
        <v>280</v>
      </c>
      <c r="D54" s="52">
        <v>320</v>
      </c>
      <c r="E54" s="52">
        <v>400</v>
      </c>
      <c r="F54" s="52">
        <v>120</v>
      </c>
      <c r="G54" s="52"/>
      <c r="H54" s="52"/>
      <c r="I54" s="52"/>
      <c r="J54" s="52">
        <v>200</v>
      </c>
      <c r="K54" s="52">
        <v>360</v>
      </c>
      <c r="L54" s="52">
        <v>160</v>
      </c>
      <c r="M54" s="52">
        <v>80</v>
      </c>
      <c r="N54" s="52">
        <f t="shared" si="0"/>
        <v>2120</v>
      </c>
      <c r="O54" s="44">
        <f t="shared" si="1"/>
        <v>2.5627839764107829E-3</v>
      </c>
    </row>
    <row r="55" spans="1:15" s="45" customFormat="1" x14ac:dyDescent="0.4">
      <c r="A55" s="42" t="s">
        <v>124</v>
      </c>
      <c r="B55" s="52">
        <v>147</v>
      </c>
      <c r="C55" s="52"/>
      <c r="D55" s="52">
        <v>294</v>
      </c>
      <c r="E55" s="52">
        <v>147</v>
      </c>
      <c r="F55" s="52">
        <v>147</v>
      </c>
      <c r="G55" s="52"/>
      <c r="H55" s="52"/>
      <c r="I55" s="52"/>
      <c r="J55" s="52">
        <v>245</v>
      </c>
      <c r="K55" s="52">
        <v>392</v>
      </c>
      <c r="L55" s="52">
        <v>98</v>
      </c>
      <c r="M55" s="52">
        <v>49</v>
      </c>
      <c r="N55" s="52">
        <f t="shared" si="0"/>
        <v>1519</v>
      </c>
      <c r="O55" s="44">
        <f t="shared" si="1"/>
        <v>1.8362588963056505E-3</v>
      </c>
    </row>
    <row r="56" spans="1:15" s="45" customFormat="1" x14ac:dyDescent="0.4">
      <c r="A56" s="42" t="s">
        <v>125</v>
      </c>
      <c r="B56" s="52">
        <v>290</v>
      </c>
      <c r="C56" s="52">
        <v>116</v>
      </c>
      <c r="D56" s="52">
        <v>116</v>
      </c>
      <c r="E56" s="52">
        <v>290</v>
      </c>
      <c r="F56" s="52">
        <v>116</v>
      </c>
      <c r="G56" s="52"/>
      <c r="H56" s="52"/>
      <c r="I56" s="52"/>
      <c r="J56" s="52">
        <v>116</v>
      </c>
      <c r="K56" s="52">
        <v>116</v>
      </c>
      <c r="L56" s="52"/>
      <c r="M56" s="52">
        <v>232</v>
      </c>
      <c r="N56" s="52">
        <f t="shared" si="0"/>
        <v>1392</v>
      </c>
      <c r="O56" s="44">
        <f t="shared" si="1"/>
        <v>1.6827336297942498E-3</v>
      </c>
    </row>
    <row r="57" spans="1:15" s="45" customFormat="1" x14ac:dyDescent="0.4">
      <c r="A57" s="42" t="s">
        <v>126</v>
      </c>
      <c r="B57" s="52">
        <v>414</v>
      </c>
      <c r="C57" s="52">
        <v>138</v>
      </c>
      <c r="D57" s="52">
        <v>276</v>
      </c>
      <c r="E57" s="52">
        <v>759</v>
      </c>
      <c r="F57" s="52">
        <v>138</v>
      </c>
      <c r="G57" s="52"/>
      <c r="H57" s="52"/>
      <c r="I57" s="52"/>
      <c r="J57" s="52">
        <v>621</v>
      </c>
      <c r="K57" s="52">
        <v>621</v>
      </c>
      <c r="L57" s="52">
        <v>276</v>
      </c>
      <c r="M57" s="52">
        <v>207</v>
      </c>
      <c r="N57" s="52">
        <f t="shared" si="0"/>
        <v>3450</v>
      </c>
      <c r="O57" s="44">
        <f t="shared" si="1"/>
        <v>4.170568263498679E-3</v>
      </c>
    </row>
    <row r="58" spans="1:15" s="45" customFormat="1" x14ac:dyDescent="0.4">
      <c r="A58" s="42" t="s">
        <v>10</v>
      </c>
      <c r="B58" s="52">
        <v>12.6</v>
      </c>
      <c r="C58" s="52">
        <v>9.6</v>
      </c>
      <c r="D58" s="52">
        <v>11.4</v>
      </c>
      <c r="E58" s="52">
        <v>10.8</v>
      </c>
      <c r="F58" s="52">
        <v>12.6</v>
      </c>
      <c r="G58" s="52">
        <v>7.8</v>
      </c>
      <c r="H58" s="52"/>
      <c r="I58" s="52"/>
      <c r="J58" s="52">
        <v>12</v>
      </c>
      <c r="K58" s="52">
        <v>13.2</v>
      </c>
      <c r="L58" s="52">
        <v>10.199999999999999</v>
      </c>
      <c r="M58" s="52">
        <v>7.2</v>
      </c>
      <c r="N58" s="52">
        <f t="shared" si="0"/>
        <v>107.40000000000002</v>
      </c>
      <c r="O58" s="44">
        <f t="shared" si="1"/>
        <v>1.2983160333326327E-4</v>
      </c>
    </row>
    <row r="59" spans="1:15" s="45" customFormat="1" x14ac:dyDescent="0.4">
      <c r="A59" s="42" t="s">
        <v>138</v>
      </c>
      <c r="B59" s="52">
        <v>1250</v>
      </c>
      <c r="C59" s="52">
        <v>200</v>
      </c>
      <c r="D59" s="52">
        <v>150</v>
      </c>
      <c r="E59" s="52">
        <v>700</v>
      </c>
      <c r="F59" s="52">
        <v>525</v>
      </c>
      <c r="G59" s="52">
        <v>250</v>
      </c>
      <c r="H59" s="52">
        <v>175</v>
      </c>
      <c r="I59" s="52">
        <v>250</v>
      </c>
      <c r="J59" s="52">
        <v>300</v>
      </c>
      <c r="K59" s="52">
        <v>200</v>
      </c>
      <c r="L59" s="52">
        <v>400</v>
      </c>
      <c r="M59" s="52">
        <v>150</v>
      </c>
      <c r="N59" s="52">
        <f t="shared" si="0"/>
        <v>4550</v>
      </c>
      <c r="O59" s="44">
        <f t="shared" si="1"/>
        <v>5.5003146663533311E-3</v>
      </c>
    </row>
    <row r="60" spans="1:15" x14ac:dyDescent="0.4">
      <c r="A60" s="5" t="s">
        <v>25</v>
      </c>
      <c r="B60" s="39">
        <f t="shared" ref="B60:M60" si="2">SUM(B4:B59)</f>
        <v>58934.85</v>
      </c>
      <c r="C60" s="39">
        <f t="shared" si="2"/>
        <v>53543.1</v>
      </c>
      <c r="D60" s="39">
        <f t="shared" si="2"/>
        <v>58300.65</v>
      </c>
      <c r="E60" s="39">
        <f t="shared" si="2"/>
        <v>60386.8</v>
      </c>
      <c r="F60" s="39">
        <f t="shared" si="2"/>
        <v>76444.350000000006</v>
      </c>
      <c r="G60" s="39">
        <f t="shared" si="2"/>
        <v>83366.3</v>
      </c>
      <c r="H60" s="39">
        <f t="shared" si="2"/>
        <v>108341.25</v>
      </c>
      <c r="I60" s="39">
        <f t="shared" si="2"/>
        <v>104557.5</v>
      </c>
      <c r="J60" s="39">
        <f t="shared" si="2"/>
        <v>71389.5</v>
      </c>
      <c r="K60" s="39">
        <f t="shared" si="2"/>
        <v>59221.2</v>
      </c>
      <c r="L60" s="39">
        <f t="shared" si="2"/>
        <v>50313.2</v>
      </c>
      <c r="M60" s="39">
        <f t="shared" si="2"/>
        <v>42426.7</v>
      </c>
      <c r="N60" s="9">
        <f t="shared" si="0"/>
        <v>827225.39999999991</v>
      </c>
      <c r="O60" s="10">
        <f t="shared" si="1"/>
        <v>1</v>
      </c>
    </row>
    <row r="61" spans="1:15" x14ac:dyDescent="0.4">
      <c r="A61" s="12"/>
    </row>
    <row r="64" spans="1:15" ht="16.8" x14ac:dyDescent="0.4">
      <c r="A64" t="s">
        <v>148</v>
      </c>
      <c r="B64" s="39">
        <f>+B4+B5+B6+B7+B8+B9+B10+B12+B13+B14+B16+B17+B23+B25+B26+B27+B28+B29+B31+B32+B33+B40+B41+B42+B43+B44+B45+B46+B47+B48+B49+B50+B51+B52+B53+B54+B55+B56+B57+B58</f>
        <v>47862.85</v>
      </c>
      <c r="C64" s="39">
        <f>+C4+C5+C6+C7+C8+C9+C10+C12+C13+C14+C16+C17+C23+C24+C25+C26+C27+C28+C29+C31+C32+C33+C40+C41+C42+C43+C44+C45+C46+C47+C48+C49+C50+C51+C52+C53+C54+C55+C56+C57+C58</f>
        <v>43576.1</v>
      </c>
      <c r="D64" s="39">
        <f>+D4+D5+D6+D7+D8+D9+D10+D12+D13+D14+D16+D17+D23+D24+D25+D26+D27+D28+D29+D31+D32+D33+D40+D41+D42+D43+D44+D45+D46+D47+D48+D49+D50+D51+D52+D53+D54+D55+D56+D57+D58</f>
        <v>48386.65</v>
      </c>
      <c r="E64" s="39">
        <f>+E4+E5+E6+E7+E8+E9+E10+E12+E13+E14+E16+E17+E23+E24+E25+E26+E27+E28+E29+E31+E32+E33+E40+E41+E42+E43+E44+E45+E46+E47+E48+E49+E50+E51+E52+E53+E54+E55+E56+E57+E58</f>
        <v>48946.8</v>
      </c>
      <c r="F64" s="39">
        <f>+F4+F5+F6+F7+F8+F9+F10+F12+F13+F14+F16+F17+F23+F24+F25+F26+F27+F28+F29+F31+F32+F33+F36+F40+F41+F42+F43+F44+F45+F46+F47+F48+F49+F50+F51+F52+F53+F54+F55+F56+F57+F58</f>
        <v>55586.85</v>
      </c>
      <c r="G64" s="39">
        <f>+G4+G5+G6+G7+G8+G9+G10+G12+G13+G14+G16+G17+G23+G24+G25+G26+G27+G28+G29+G31+G32+G33+G36+G40+G41+G42+G43+G44+G45+G46+G47+G48+G49+G50+G51+G52+G53+G54+G55+G56+G57+G58</f>
        <v>63668.3</v>
      </c>
      <c r="H64" s="39">
        <f>+H4+H5+H6+H7+H8+H9+H10+H12+H13+H14+H16+H17+H23+H24+H25+H26+H27+H28+H29+H31+H32+H33+H36+H40+H41+H42+H43+H44+H45+H46+H47+H48+H49+H50+H51+H52+H53+H54+H55+H56+H57+H58+H39</f>
        <v>80880.75</v>
      </c>
      <c r="I64" s="39">
        <f>+I4+I5+I6+I7+I8+I9+I10+I12+I13+I14+I16+I17+I23+I24+I25+I26+I27+I28+I29+I31+I32+I33+I36+I40+I41+I42+I43+I44+I45+I46+I47+I48+I49+I50+I51+I52+I53+I54+I55+I56+I57+I58</f>
        <v>76872.5</v>
      </c>
      <c r="J64" s="39">
        <f>+J4+J5+J6+J7+J8+J9+J10+J12+J13+J14+J16+J17+J23+J24+J25+J26+J27+J28+J29+J31+J32+J33+J36+J40+J41+J42+J43+J44+J45+J46+J47+J48+J49+J50+J51+J52+J53+J54+J55+J56+J57+J58</f>
        <v>57811.5</v>
      </c>
      <c r="K64" s="39">
        <f>+K4+K5+K6+K7+K8+K9+K10+K12+K13+K14+K16+K17+K23+K24+K25+K26+K27+K28+K29+K31+K32+K33+K36+K40+K41+K42+K43+K44+K45+K46+K47+K48+K49+K50+K51+K52+K53+K54+K55+K56+K57+K58</f>
        <v>49374.2</v>
      </c>
      <c r="L64" s="39">
        <f>+L4+L5+L6+L7+L8+L9+L10+L12+L13+L14+L16+L17+L23+L24+L25+L26+L27+L28+L29+L31+L32+L33+L36+L40+L41+L42+L43+L44+L45+L46+L47+L48+L49+L50+L51+L52+L53+L54+L55+L56+L57+L58</f>
        <v>40596.199999999997</v>
      </c>
      <c r="M64" s="39">
        <f>+M4+M5+M6+M7+M8+M9+M10+M12+M13+M14+M16+M17+M23+M24+M25+M26+M27+M28+M29+M31+M32+M33+M36+M40+M41+M42+M43+M44+M45+M46+M47+M48+M49+M50+M51+M52+M53+M54+M55+M56+M57+M58</f>
        <v>34624.699999999997</v>
      </c>
      <c r="N64" s="39">
        <f>+N4+N5+N6+N7+N8+N9+N10+N12+N13+N14+N16+N17+N23+N24+N25+N26+N27+N28+N29+N31+N32+N33+N36+N40+N41+N42+N43+N44+N45+N46+N47+N48+N49+N50+N51+N52+N53+N54+N55+N56+N57+N58+N39</f>
        <v>648187.4</v>
      </c>
    </row>
    <row r="65" spans="1:14" s="50" customFormat="1" ht="16.8" x14ac:dyDescent="0.4">
      <c r="A65" s="53" t="s">
        <v>149</v>
      </c>
      <c r="B65" s="50">
        <f>+B11+B15+B19+B20+B21+B22+B30+B34+B35+B18+B37+B59</f>
        <v>11072</v>
      </c>
      <c r="C65" s="50">
        <f>+C11+C15+C19+C20+C21+C22+C30+C34+C35+C18+C37+C59</f>
        <v>9967</v>
      </c>
      <c r="D65" s="50">
        <f>+D11+D15+D19+D20+D21+D22+D30+D34+D35+D18+D37+D59</f>
        <v>9914</v>
      </c>
      <c r="E65" s="50">
        <f>+E11+E15+E19+E20+E21+E22+E30+E34+E35+E18+E37+E59</f>
        <v>11440</v>
      </c>
      <c r="F65" s="50">
        <f>+F11+F15+F19+F20+F21+F22+F30+F34+F35+F18+F37+F38+F59</f>
        <v>20857.5</v>
      </c>
      <c r="G65" s="50">
        <f>+G11+G15+G19+G20+G21+G22+G30+G34+G35+G18+G37+G38+G59</f>
        <v>19698</v>
      </c>
      <c r="H65" s="50">
        <f t="shared" ref="H65:N65" si="3">+H11+H15+H19+H20+H21+H22+H30+H34+H35+H18+H37+H38+H59</f>
        <v>27460.5</v>
      </c>
      <c r="I65" s="50">
        <f t="shared" si="3"/>
        <v>27685</v>
      </c>
      <c r="J65" s="50">
        <f t="shared" si="3"/>
        <v>13578</v>
      </c>
      <c r="K65" s="50">
        <f t="shared" si="3"/>
        <v>9847</v>
      </c>
      <c r="L65" s="50">
        <f t="shared" si="3"/>
        <v>9717</v>
      </c>
      <c r="M65" s="50">
        <f t="shared" si="3"/>
        <v>7802</v>
      </c>
      <c r="N65" s="50">
        <f t="shared" si="3"/>
        <v>179038</v>
      </c>
    </row>
    <row r="66" spans="1:14" s="48" customFormat="1" ht="17.399999999999999" thickBot="1" x14ac:dyDescent="0.45">
      <c r="A66" s="46" t="s">
        <v>143</v>
      </c>
      <c r="B66" s="47">
        <f t="shared" ref="B66:N66" si="4">SUM(B64:B65)</f>
        <v>58934.85</v>
      </c>
      <c r="C66" s="47">
        <f t="shared" si="4"/>
        <v>53543.1</v>
      </c>
      <c r="D66" s="47">
        <f t="shared" si="4"/>
        <v>58300.65</v>
      </c>
      <c r="E66" s="47">
        <f t="shared" si="4"/>
        <v>60386.8</v>
      </c>
      <c r="F66" s="47">
        <f t="shared" si="4"/>
        <v>76444.350000000006</v>
      </c>
      <c r="G66" s="47">
        <f t="shared" si="4"/>
        <v>83366.3</v>
      </c>
      <c r="H66" s="47">
        <f t="shared" si="4"/>
        <v>108341.25</v>
      </c>
      <c r="I66" s="47">
        <f t="shared" si="4"/>
        <v>104557.5</v>
      </c>
      <c r="J66" s="47">
        <f t="shared" si="4"/>
        <v>71389.5</v>
      </c>
      <c r="K66" s="47">
        <f t="shared" si="4"/>
        <v>59221.2</v>
      </c>
      <c r="L66" s="47">
        <f t="shared" si="4"/>
        <v>50313.2</v>
      </c>
      <c r="M66" s="47">
        <f t="shared" si="4"/>
        <v>42426.7</v>
      </c>
      <c r="N66" s="47">
        <f t="shared" si="4"/>
        <v>827225.4</v>
      </c>
    </row>
    <row r="67" spans="1:14" ht="16.8" thickTop="1" x14ac:dyDescent="0.4"/>
    <row r="68" spans="1:14" x14ac:dyDescent="0.4">
      <c r="B68" s="39">
        <f t="shared" ref="B68:M68" si="5">+B66-B60</f>
        <v>0</v>
      </c>
      <c r="C68" s="39">
        <f t="shared" si="5"/>
        <v>0</v>
      </c>
      <c r="D68" s="39">
        <f t="shared" si="5"/>
        <v>0</v>
      </c>
      <c r="E68" s="39">
        <f t="shared" si="5"/>
        <v>0</v>
      </c>
      <c r="F68" s="39">
        <f t="shared" si="5"/>
        <v>0</v>
      </c>
      <c r="G68" s="39">
        <f t="shared" si="5"/>
        <v>0</v>
      </c>
      <c r="H68" s="39">
        <f t="shared" si="5"/>
        <v>0</v>
      </c>
      <c r="I68" s="39">
        <f t="shared" si="5"/>
        <v>0</v>
      </c>
      <c r="J68" s="39">
        <f t="shared" si="5"/>
        <v>0</v>
      </c>
      <c r="K68" s="39">
        <f t="shared" si="5"/>
        <v>0</v>
      </c>
      <c r="L68" s="39">
        <f t="shared" si="5"/>
        <v>0</v>
      </c>
      <c r="M68" s="39">
        <f t="shared" si="5"/>
        <v>0</v>
      </c>
    </row>
    <row r="75" spans="1:14" x14ac:dyDescent="0.4">
      <c r="A75" s="60" t="s">
        <v>204</v>
      </c>
      <c r="B75" s="61">
        <f>+B7+B10+B13+B17+B16+B14+B8+B9+B12+B4+B5+B6</f>
        <v>13600</v>
      </c>
      <c r="C75" s="61">
        <f t="shared" ref="C75:M75" si="6">+C7+C10+C13+C17+C16+C14+C8+C9+C12+C4+C5+C6</f>
        <v>8652</v>
      </c>
      <c r="D75" s="61">
        <f t="shared" si="6"/>
        <v>10592</v>
      </c>
      <c r="E75" s="61">
        <f t="shared" si="6"/>
        <v>10268</v>
      </c>
      <c r="F75" s="61">
        <f t="shared" si="6"/>
        <v>25876</v>
      </c>
      <c r="G75" s="61">
        <f t="shared" si="6"/>
        <v>21167</v>
      </c>
      <c r="H75" s="61">
        <f t="shared" si="6"/>
        <v>25615</v>
      </c>
      <c r="I75" s="61">
        <f t="shared" si="6"/>
        <v>20959</v>
      </c>
      <c r="J75" s="61">
        <f t="shared" si="6"/>
        <v>20618</v>
      </c>
      <c r="K75" s="61">
        <f t="shared" si="6"/>
        <v>14636</v>
      </c>
      <c r="L75" s="61">
        <f t="shared" si="6"/>
        <v>9605</v>
      </c>
      <c r="M75" s="61">
        <f t="shared" si="6"/>
        <v>4727</v>
      </c>
      <c r="N75" s="61">
        <f>SUM(B75:M75)</f>
        <v>186315</v>
      </c>
    </row>
    <row r="76" spans="1:14" x14ac:dyDescent="0.4">
      <c r="A76" s="60" t="s">
        <v>205</v>
      </c>
      <c r="B76" s="61">
        <f>+B23+B24+B31+B32</f>
        <v>27674.5</v>
      </c>
      <c r="C76" s="61">
        <f t="shared" ref="C76:M76" si="7">+C23+C24+C31+C32</f>
        <v>28609</v>
      </c>
      <c r="D76" s="61">
        <f t="shared" si="7"/>
        <v>30957.5</v>
      </c>
      <c r="E76" s="61">
        <f t="shared" si="7"/>
        <v>29872.5</v>
      </c>
      <c r="F76" s="61">
        <f t="shared" si="7"/>
        <v>21168.5</v>
      </c>
      <c r="G76" s="61">
        <f t="shared" si="7"/>
        <v>30105</v>
      </c>
      <c r="H76" s="61">
        <f t="shared" si="7"/>
        <v>38617.5</v>
      </c>
      <c r="I76" s="61">
        <f t="shared" si="7"/>
        <v>41175</v>
      </c>
      <c r="J76" s="61">
        <f t="shared" si="7"/>
        <v>25496.5</v>
      </c>
      <c r="K76" s="61">
        <f t="shared" si="7"/>
        <v>24550</v>
      </c>
      <c r="L76" s="61">
        <f t="shared" si="7"/>
        <v>24380</v>
      </c>
      <c r="M76" s="61">
        <f t="shared" si="7"/>
        <v>23646</v>
      </c>
      <c r="N76" s="61">
        <f t="shared" ref="N76:N81" si="8">SUM(B76:M76)</f>
        <v>346252</v>
      </c>
    </row>
    <row r="77" spans="1:14" x14ac:dyDescent="0.4">
      <c r="A77" s="60" t="s">
        <v>206</v>
      </c>
      <c r="B77" s="61">
        <f>+B26+B27+B33</f>
        <v>80</v>
      </c>
      <c r="C77" s="61">
        <f t="shared" ref="C77:M77" si="9">+C26+C27+C33</f>
        <v>112</v>
      </c>
      <c r="D77" s="61">
        <f t="shared" si="9"/>
        <v>76</v>
      </c>
      <c r="E77" s="61">
        <f t="shared" si="9"/>
        <v>158</v>
      </c>
      <c r="F77" s="61">
        <f t="shared" si="9"/>
        <v>356</v>
      </c>
      <c r="G77" s="61">
        <f t="shared" si="9"/>
        <v>486</v>
      </c>
      <c r="H77" s="61">
        <f t="shared" si="9"/>
        <v>660</v>
      </c>
      <c r="I77" s="61">
        <f t="shared" si="9"/>
        <v>606</v>
      </c>
      <c r="J77" s="61">
        <f t="shared" si="9"/>
        <v>450</v>
      </c>
      <c r="K77" s="61">
        <f t="shared" si="9"/>
        <v>162</v>
      </c>
      <c r="L77" s="61">
        <f t="shared" si="9"/>
        <v>130</v>
      </c>
      <c r="M77" s="61">
        <f t="shared" si="9"/>
        <v>58</v>
      </c>
      <c r="N77" s="61">
        <f t="shared" si="8"/>
        <v>3334</v>
      </c>
    </row>
    <row r="78" spans="1:14" x14ac:dyDescent="0.4">
      <c r="A78" s="60" t="s">
        <v>207</v>
      </c>
      <c r="B78" s="61">
        <f>+B40+B41+B42+B43+B44+B45+B46+B47+B48+B49+B50+B51+B52+B53+B54+B55+B56+B57</f>
        <v>6339</v>
      </c>
      <c r="C78" s="61">
        <f t="shared" ref="C78:M78" si="10">+C40+C41+C42+C43+C44+C45+C46+C47+C48+C49+C50+C51+C52+C53+C54+C55+C56+C57</f>
        <v>6083</v>
      </c>
      <c r="D78" s="61">
        <f t="shared" si="10"/>
        <v>6619</v>
      </c>
      <c r="E78" s="61">
        <f t="shared" si="10"/>
        <v>8482</v>
      </c>
      <c r="F78" s="61">
        <f t="shared" si="10"/>
        <v>7920</v>
      </c>
      <c r="G78" s="61">
        <f t="shared" si="10"/>
        <v>11295</v>
      </c>
      <c r="H78" s="61">
        <f t="shared" si="10"/>
        <v>15073</v>
      </c>
      <c r="I78" s="61">
        <f t="shared" si="10"/>
        <v>13992</v>
      </c>
      <c r="J78" s="61">
        <f t="shared" si="10"/>
        <v>10934</v>
      </c>
      <c r="K78" s="61">
        <f t="shared" si="10"/>
        <v>9847</v>
      </c>
      <c r="L78" s="61">
        <f t="shared" si="10"/>
        <v>6370</v>
      </c>
      <c r="M78" s="61">
        <f t="shared" si="10"/>
        <v>5798</v>
      </c>
      <c r="N78" s="61">
        <f t="shared" si="8"/>
        <v>108752</v>
      </c>
    </row>
    <row r="79" spans="1:14" x14ac:dyDescent="0.4">
      <c r="A79" s="60" t="s">
        <v>208</v>
      </c>
      <c r="B79" s="61">
        <f>+B11+B15+B20+B37</f>
        <v>3658</v>
      </c>
      <c r="C79" s="61">
        <f t="shared" ref="C79:M79" si="11">+C11+C15+C20+C37</f>
        <v>2855</v>
      </c>
      <c r="D79" s="61">
        <f t="shared" si="11"/>
        <v>2346</v>
      </c>
      <c r="E79" s="61">
        <f t="shared" si="11"/>
        <v>3348</v>
      </c>
      <c r="F79" s="61">
        <f t="shared" si="11"/>
        <v>6824</v>
      </c>
      <c r="G79" s="61">
        <f t="shared" si="11"/>
        <v>5235</v>
      </c>
      <c r="H79" s="61">
        <f t="shared" si="11"/>
        <v>5175</v>
      </c>
      <c r="I79" s="61">
        <f t="shared" si="11"/>
        <v>5045</v>
      </c>
      <c r="J79" s="61">
        <f t="shared" si="11"/>
        <v>3664</v>
      </c>
      <c r="K79" s="61">
        <f t="shared" si="11"/>
        <v>2939</v>
      </c>
      <c r="L79" s="61">
        <f t="shared" si="11"/>
        <v>2793</v>
      </c>
      <c r="M79" s="61">
        <f t="shared" si="11"/>
        <v>2365</v>
      </c>
      <c r="N79" s="61">
        <f t="shared" si="8"/>
        <v>46247</v>
      </c>
    </row>
    <row r="80" spans="1:14" x14ac:dyDescent="0.4">
      <c r="A80" s="60" t="s">
        <v>209</v>
      </c>
      <c r="B80" s="61">
        <f>+B21+B22+B30+B34</f>
        <v>6072</v>
      </c>
      <c r="C80" s="61">
        <f t="shared" ref="C80:M80" si="12">+C21+C22+C30+C34</f>
        <v>6659</v>
      </c>
      <c r="D80" s="61">
        <f t="shared" si="12"/>
        <v>7230</v>
      </c>
      <c r="E80" s="61">
        <f t="shared" si="12"/>
        <v>7135</v>
      </c>
      <c r="F80" s="61">
        <f t="shared" si="12"/>
        <v>12885.5</v>
      </c>
      <c r="G80" s="61">
        <f t="shared" si="12"/>
        <v>13347</v>
      </c>
      <c r="H80" s="61">
        <f t="shared" si="12"/>
        <v>20278.5</v>
      </c>
      <c r="I80" s="61">
        <f t="shared" si="12"/>
        <v>20640</v>
      </c>
      <c r="J80" s="61">
        <f t="shared" si="12"/>
        <v>8785</v>
      </c>
      <c r="K80" s="61">
        <f t="shared" si="12"/>
        <v>6399</v>
      </c>
      <c r="L80" s="61">
        <f t="shared" si="12"/>
        <v>6310</v>
      </c>
      <c r="M80" s="61">
        <f t="shared" si="12"/>
        <v>5155</v>
      </c>
      <c r="N80" s="61">
        <f t="shared" si="8"/>
        <v>120896</v>
      </c>
    </row>
    <row r="81" spans="1:14" x14ac:dyDescent="0.4">
      <c r="A81" s="60" t="s">
        <v>210</v>
      </c>
      <c r="B81" s="61">
        <f>+B18+B19+B35+B38</f>
        <v>92</v>
      </c>
      <c r="C81" s="61">
        <f t="shared" ref="C81:M81" si="13">+C18+C19+C35+C38</f>
        <v>253</v>
      </c>
      <c r="D81" s="61">
        <f t="shared" si="13"/>
        <v>188</v>
      </c>
      <c r="E81" s="61">
        <f t="shared" si="13"/>
        <v>257</v>
      </c>
      <c r="F81" s="61">
        <f t="shared" si="13"/>
        <v>623</v>
      </c>
      <c r="G81" s="61">
        <f t="shared" si="13"/>
        <v>866</v>
      </c>
      <c r="H81" s="61">
        <f t="shared" si="13"/>
        <v>1832</v>
      </c>
      <c r="I81" s="61">
        <f t="shared" si="13"/>
        <v>1750</v>
      </c>
      <c r="J81" s="61">
        <f t="shared" si="13"/>
        <v>829</v>
      </c>
      <c r="K81" s="61">
        <f t="shared" si="13"/>
        <v>309</v>
      </c>
      <c r="L81" s="61">
        <f t="shared" si="13"/>
        <v>214</v>
      </c>
      <c r="M81" s="61">
        <f t="shared" si="13"/>
        <v>132</v>
      </c>
      <c r="N81" s="61">
        <f t="shared" si="8"/>
        <v>7345</v>
      </c>
    </row>
  </sheetData>
  <phoneticPr fontId="14" type="noConversion"/>
  <printOptions horizontalCentered="1" verticalCentered="1"/>
  <pageMargins left="0.25" right="0.25" top="0.25" bottom="0.25" header="0" footer="0"/>
  <pageSetup scale="5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6"/>
  <sheetViews>
    <sheetView zoomScale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5" defaultRowHeight="16.2" x14ac:dyDescent="0.4"/>
  <cols>
    <col min="1" max="1" width="28.75" style="4" bestFit="1" customWidth="1"/>
    <col min="2" max="2" width="9.6640625" style="4" bestFit="1" customWidth="1"/>
    <col min="3" max="3" width="9.33203125" style="4" customWidth="1"/>
    <col min="4" max="4" width="9.6640625" style="4" bestFit="1" customWidth="1"/>
    <col min="5" max="6" width="9.9140625" style="4" bestFit="1" customWidth="1"/>
    <col min="7" max="7" width="10.33203125" style="4" bestFit="1" customWidth="1"/>
    <col min="8" max="8" width="9.9140625" style="4" bestFit="1" customWidth="1"/>
    <col min="9" max="9" width="10.33203125" style="4" bestFit="1" customWidth="1"/>
    <col min="10" max="10" width="9.9140625" style="4" bestFit="1" customWidth="1"/>
    <col min="11" max="12" width="9.33203125" style="4" customWidth="1"/>
    <col min="13" max="13" width="9.9140625" style="4" bestFit="1" customWidth="1"/>
    <col min="14" max="14" width="10.75" style="4" bestFit="1" customWidth="1"/>
    <col min="15" max="15" width="6.58203125" style="4" bestFit="1" customWidth="1"/>
    <col min="16" max="16384" width="9.75" style="4"/>
  </cols>
  <sheetData>
    <row r="1" spans="1:16" ht="18.600000000000001" x14ac:dyDescent="0.45">
      <c r="A1" s="3" t="s">
        <v>151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s="45" customFormat="1" x14ac:dyDescent="0.4">
      <c r="A4" s="42" t="s">
        <v>107</v>
      </c>
      <c r="B4" s="43">
        <v>1139</v>
      </c>
      <c r="C4" s="43">
        <v>1072</v>
      </c>
      <c r="D4" s="43">
        <v>1541</v>
      </c>
      <c r="E4" s="43">
        <v>1943</v>
      </c>
      <c r="F4" s="43">
        <v>1005</v>
      </c>
      <c r="G4" s="43">
        <v>1742</v>
      </c>
      <c r="H4" s="43">
        <v>1675</v>
      </c>
      <c r="I4" s="43">
        <v>1273</v>
      </c>
      <c r="J4" s="43">
        <v>1943</v>
      </c>
      <c r="K4" s="43">
        <v>1675</v>
      </c>
      <c r="L4" s="43">
        <v>1541</v>
      </c>
      <c r="M4" s="43">
        <v>1474</v>
      </c>
      <c r="N4" s="43">
        <f t="shared" ref="N4:N43" si="0">SUM(B4:M4)</f>
        <v>18023</v>
      </c>
      <c r="O4" s="44">
        <f t="shared" ref="O4:O16" si="1">N4/$N$45</f>
        <v>2.3076007616375682E-2</v>
      </c>
      <c r="P4" s="43">
        <f>SUM(B4:G4)</f>
        <v>8442</v>
      </c>
    </row>
    <row r="5" spans="1:16" s="45" customFormat="1" x14ac:dyDescent="0.4">
      <c r="A5" s="42" t="s">
        <v>108</v>
      </c>
      <c r="B5" s="51">
        <v>0</v>
      </c>
      <c r="C5" s="51">
        <v>0</v>
      </c>
      <c r="D5" s="51">
        <v>38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43">
        <f t="shared" si="0"/>
        <v>38</v>
      </c>
      <c r="O5" s="44">
        <f t="shared" si="1"/>
        <v>4.8653847274165002E-5</v>
      </c>
      <c r="P5" s="43">
        <f t="shared" ref="P5:P45" si="2">SUM(B5:G5)</f>
        <v>38</v>
      </c>
    </row>
    <row r="6" spans="1:16" s="45" customFormat="1" x14ac:dyDescent="0.4">
      <c r="A6" s="42" t="s">
        <v>109</v>
      </c>
      <c r="B6" s="52">
        <v>4032</v>
      </c>
      <c r="C6" s="52">
        <v>2520</v>
      </c>
      <c r="D6" s="52">
        <v>4662</v>
      </c>
      <c r="E6" s="52">
        <v>3528</v>
      </c>
      <c r="F6" s="52">
        <v>2394</v>
      </c>
      <c r="G6" s="52">
        <v>3528</v>
      </c>
      <c r="H6" s="52">
        <v>2898</v>
      </c>
      <c r="I6" s="52">
        <v>3150</v>
      </c>
      <c r="J6" s="52">
        <v>3528</v>
      </c>
      <c r="K6" s="52">
        <v>3906</v>
      </c>
      <c r="L6" s="52">
        <v>4536</v>
      </c>
      <c r="M6" s="52">
        <v>4032</v>
      </c>
      <c r="N6" s="43">
        <f t="shared" si="0"/>
        <v>42714</v>
      </c>
      <c r="O6" s="44">
        <f t="shared" si="1"/>
        <v>5.4689485064965369E-2</v>
      </c>
      <c r="P6" s="43">
        <f t="shared" si="2"/>
        <v>20664</v>
      </c>
    </row>
    <row r="7" spans="1:16" s="45" customFormat="1" x14ac:dyDescent="0.4">
      <c r="A7" s="42" t="s">
        <v>110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43">
        <f t="shared" si="0"/>
        <v>0</v>
      </c>
      <c r="O7" s="44">
        <f t="shared" si="1"/>
        <v>0</v>
      </c>
      <c r="P7" s="43">
        <f t="shared" si="2"/>
        <v>0</v>
      </c>
    </row>
    <row r="8" spans="1:16" s="45" customFormat="1" x14ac:dyDescent="0.4">
      <c r="A8" s="42" t="s">
        <v>132</v>
      </c>
      <c r="B8" s="52">
        <v>3213</v>
      </c>
      <c r="C8" s="52">
        <v>357</v>
      </c>
      <c r="D8" s="52">
        <v>2142</v>
      </c>
      <c r="E8" s="52">
        <v>1428</v>
      </c>
      <c r="F8" s="52">
        <v>1428</v>
      </c>
      <c r="G8" s="52">
        <v>2499</v>
      </c>
      <c r="H8" s="52">
        <v>1785</v>
      </c>
      <c r="I8" s="52">
        <v>1071</v>
      </c>
      <c r="J8" s="52">
        <v>3570</v>
      </c>
      <c r="K8" s="52">
        <v>1428</v>
      </c>
      <c r="L8" s="52">
        <v>1071</v>
      </c>
      <c r="M8" s="52">
        <v>2499</v>
      </c>
      <c r="N8" s="43">
        <f t="shared" si="0"/>
        <v>22491</v>
      </c>
      <c r="O8" s="44">
        <f t="shared" si="1"/>
        <v>2.8796675764295922E-2</v>
      </c>
      <c r="P8" s="43">
        <f t="shared" si="2"/>
        <v>11067</v>
      </c>
    </row>
    <row r="9" spans="1:16" s="45" customFormat="1" x14ac:dyDescent="0.4">
      <c r="A9" s="42" t="s">
        <v>150</v>
      </c>
      <c r="B9" s="52">
        <v>714</v>
      </c>
      <c r="C9" s="52">
        <v>408</v>
      </c>
      <c r="D9" s="52">
        <v>612</v>
      </c>
      <c r="E9" s="52">
        <v>408</v>
      </c>
      <c r="F9" s="52">
        <v>612</v>
      </c>
      <c r="G9" s="52">
        <v>204</v>
      </c>
      <c r="H9" s="52">
        <v>408</v>
      </c>
      <c r="I9" s="52">
        <v>408</v>
      </c>
      <c r="J9" s="52">
        <v>1428</v>
      </c>
      <c r="K9" s="52">
        <v>408</v>
      </c>
      <c r="L9" s="52">
        <v>306</v>
      </c>
      <c r="M9" s="52">
        <v>204</v>
      </c>
      <c r="N9" s="43">
        <f t="shared" si="0"/>
        <v>6120</v>
      </c>
      <c r="O9" s="44">
        <f t="shared" si="1"/>
        <v>7.8358301399444694E-3</v>
      </c>
      <c r="P9" s="43">
        <f t="shared" si="2"/>
        <v>2958</v>
      </c>
    </row>
    <row r="10" spans="1:16" s="45" customFormat="1" x14ac:dyDescent="0.4">
      <c r="A10" s="42" t="s">
        <v>144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43">
        <f t="shared" si="0"/>
        <v>0</v>
      </c>
      <c r="O10" s="44">
        <f t="shared" si="1"/>
        <v>0</v>
      </c>
      <c r="P10" s="43">
        <f t="shared" si="2"/>
        <v>0</v>
      </c>
    </row>
    <row r="11" spans="1:16" s="45" customFormat="1" x14ac:dyDescent="0.4">
      <c r="A11" s="42" t="s">
        <v>134</v>
      </c>
      <c r="B11" s="52">
        <v>0</v>
      </c>
      <c r="C11" s="52">
        <v>840</v>
      </c>
      <c r="D11" s="52">
        <v>840</v>
      </c>
      <c r="E11" s="52">
        <v>210</v>
      </c>
      <c r="F11" s="52">
        <v>0</v>
      </c>
      <c r="G11" s="52">
        <v>1260</v>
      </c>
      <c r="H11" s="52">
        <v>420</v>
      </c>
      <c r="I11" s="52">
        <v>210</v>
      </c>
      <c r="J11" s="52">
        <v>630</v>
      </c>
      <c r="K11" s="52">
        <v>630</v>
      </c>
      <c r="L11" s="52">
        <v>630</v>
      </c>
      <c r="M11" s="52">
        <v>630</v>
      </c>
      <c r="N11" s="43">
        <f t="shared" si="0"/>
        <v>6300</v>
      </c>
      <c r="O11" s="44">
        <f t="shared" si="1"/>
        <v>8.0662957322957772E-3</v>
      </c>
      <c r="P11" s="43">
        <f t="shared" si="2"/>
        <v>3150</v>
      </c>
    </row>
    <row r="12" spans="1:16" s="45" customFormat="1" x14ac:dyDescent="0.4">
      <c r="A12" s="42" t="s">
        <v>135</v>
      </c>
      <c r="B12" s="52">
        <v>3360</v>
      </c>
      <c r="C12" s="52">
        <v>2016</v>
      </c>
      <c r="D12" s="52">
        <v>672</v>
      </c>
      <c r="E12" s="52">
        <v>672</v>
      </c>
      <c r="F12" s="52">
        <v>672</v>
      </c>
      <c r="G12" s="52">
        <v>4032</v>
      </c>
      <c r="H12" s="52">
        <v>2016</v>
      </c>
      <c r="I12" s="52">
        <v>2016</v>
      </c>
      <c r="J12" s="52">
        <v>672</v>
      </c>
      <c r="K12" s="52">
        <v>1344</v>
      </c>
      <c r="L12" s="52">
        <v>2016</v>
      </c>
      <c r="M12" s="52">
        <v>672</v>
      </c>
      <c r="N12" s="43">
        <f t="shared" si="0"/>
        <v>20160</v>
      </c>
      <c r="O12" s="44">
        <f t="shared" si="1"/>
        <v>2.5812146343346488E-2</v>
      </c>
      <c r="P12" s="43">
        <f t="shared" si="2"/>
        <v>11424</v>
      </c>
    </row>
    <row r="13" spans="1:16" s="45" customFormat="1" x14ac:dyDescent="0.4">
      <c r="A13" s="42" t="s">
        <v>136</v>
      </c>
      <c r="B13" s="52">
        <v>0</v>
      </c>
      <c r="C13" s="52">
        <v>576</v>
      </c>
      <c r="D13" s="52">
        <v>0</v>
      </c>
      <c r="E13" s="52">
        <v>576</v>
      </c>
      <c r="F13" s="52">
        <v>384</v>
      </c>
      <c r="G13" s="52">
        <v>768</v>
      </c>
      <c r="H13" s="52">
        <v>192</v>
      </c>
      <c r="I13" s="52">
        <v>576</v>
      </c>
      <c r="J13" s="52">
        <v>192</v>
      </c>
      <c r="K13" s="52">
        <v>384</v>
      </c>
      <c r="L13" s="52">
        <v>0</v>
      </c>
      <c r="M13" s="52">
        <v>960</v>
      </c>
      <c r="N13" s="43">
        <f t="shared" si="0"/>
        <v>4608</v>
      </c>
      <c r="O13" s="44">
        <f t="shared" si="1"/>
        <v>5.8999191641934826E-3</v>
      </c>
      <c r="P13" s="43">
        <f t="shared" si="2"/>
        <v>2304</v>
      </c>
    </row>
    <row r="14" spans="1:16" s="45" customFormat="1" x14ac:dyDescent="0.4">
      <c r="A14" s="42" t="s">
        <v>137</v>
      </c>
      <c r="B14" s="52">
        <v>420</v>
      </c>
      <c r="C14" s="52">
        <v>0</v>
      </c>
      <c r="D14" s="52">
        <v>0</v>
      </c>
      <c r="E14" s="52">
        <v>0</v>
      </c>
      <c r="F14" s="52">
        <v>840</v>
      </c>
      <c r="G14" s="52">
        <v>0</v>
      </c>
      <c r="H14" s="52">
        <v>420</v>
      </c>
      <c r="I14" s="52">
        <v>0</v>
      </c>
      <c r="J14" s="52">
        <v>0</v>
      </c>
      <c r="K14" s="52">
        <v>0</v>
      </c>
      <c r="L14" s="52">
        <v>420</v>
      </c>
      <c r="M14" s="52">
        <v>0</v>
      </c>
      <c r="N14" s="43">
        <f t="shared" si="0"/>
        <v>2100</v>
      </c>
      <c r="O14" s="44">
        <f t="shared" si="1"/>
        <v>2.6887652440985925E-3</v>
      </c>
      <c r="P14" s="43">
        <f t="shared" si="2"/>
        <v>1260</v>
      </c>
    </row>
    <row r="15" spans="1:16" s="45" customFormat="1" x14ac:dyDescent="0.4">
      <c r="A15" s="42" t="s">
        <v>145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384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384</v>
      </c>
      <c r="N15" s="43">
        <f t="shared" si="0"/>
        <v>768</v>
      </c>
      <c r="O15" s="44">
        <f t="shared" si="1"/>
        <v>9.8331986069891369E-4</v>
      </c>
      <c r="P15" s="43">
        <f t="shared" si="2"/>
        <v>384</v>
      </c>
    </row>
    <row r="16" spans="1:16" s="45" customFormat="1" x14ac:dyDescent="0.4">
      <c r="A16" s="42" t="s">
        <v>146</v>
      </c>
      <c r="B16" s="52">
        <v>81</v>
      </c>
      <c r="C16" s="52">
        <v>87</v>
      </c>
      <c r="D16" s="52">
        <v>126</v>
      </c>
      <c r="E16" s="52">
        <v>243</v>
      </c>
      <c r="F16" s="52">
        <v>468</v>
      </c>
      <c r="G16" s="52">
        <v>528</v>
      </c>
      <c r="H16" s="52">
        <v>1035</v>
      </c>
      <c r="I16" s="52">
        <v>1047</v>
      </c>
      <c r="J16" s="52">
        <v>762</v>
      </c>
      <c r="K16" s="52">
        <v>171</v>
      </c>
      <c r="L16" s="52">
        <v>87</v>
      </c>
      <c r="M16" s="52">
        <v>63</v>
      </c>
      <c r="N16" s="43">
        <f t="shared" si="0"/>
        <v>4698</v>
      </c>
      <c r="O16" s="44">
        <f t="shared" si="1"/>
        <v>6.0151519603691365E-3</v>
      </c>
      <c r="P16" s="43">
        <f t="shared" si="2"/>
        <v>1533</v>
      </c>
    </row>
    <row r="17" spans="1:16" s="45" customFormat="1" x14ac:dyDescent="0.4">
      <c r="A17" s="42" t="s">
        <v>111</v>
      </c>
      <c r="B17" s="52">
        <v>1125</v>
      </c>
      <c r="C17" s="52">
        <v>1305</v>
      </c>
      <c r="D17" s="52">
        <v>2340</v>
      </c>
      <c r="E17" s="52">
        <v>2250</v>
      </c>
      <c r="F17" s="52">
        <v>2205</v>
      </c>
      <c r="G17" s="52">
        <v>2385</v>
      </c>
      <c r="H17" s="52">
        <v>2295</v>
      </c>
      <c r="I17" s="52">
        <v>2205</v>
      </c>
      <c r="J17" s="52">
        <v>2205</v>
      </c>
      <c r="K17" s="52">
        <v>1530</v>
      </c>
      <c r="L17" s="52">
        <v>1755</v>
      </c>
      <c r="M17" s="52">
        <v>1350</v>
      </c>
      <c r="N17" s="43">
        <f t="shared" si="0"/>
        <v>22950</v>
      </c>
      <c r="O17" s="44">
        <f t="shared" ref="O17:O28" si="3">N17/$N$45</f>
        <v>2.9384363024791759E-2</v>
      </c>
      <c r="P17" s="43">
        <f t="shared" si="2"/>
        <v>11610</v>
      </c>
    </row>
    <row r="18" spans="1:16" s="45" customFormat="1" x14ac:dyDescent="0.4">
      <c r="A18" s="42" t="s">
        <v>4</v>
      </c>
      <c r="B18" s="52">
        <v>5028</v>
      </c>
      <c r="C18" s="52">
        <v>5510</v>
      </c>
      <c r="D18" s="52">
        <v>6242</v>
      </c>
      <c r="E18" s="52">
        <v>7246</v>
      </c>
      <c r="F18" s="52">
        <v>9262</v>
      </c>
      <c r="G18" s="52">
        <v>8262</v>
      </c>
      <c r="H18" s="52">
        <v>12120</v>
      </c>
      <c r="I18" s="52">
        <v>12696</v>
      </c>
      <c r="J18" s="52">
        <v>9108</v>
      </c>
      <c r="K18" s="52">
        <v>6700</v>
      </c>
      <c r="L18" s="52">
        <v>6718</v>
      </c>
      <c r="M18" s="52">
        <v>6076</v>
      </c>
      <c r="N18" s="43">
        <f t="shared" si="0"/>
        <v>94968</v>
      </c>
      <c r="O18" s="44">
        <f t="shared" si="3"/>
        <v>0.12159364652455006</v>
      </c>
      <c r="P18" s="43">
        <f t="shared" si="2"/>
        <v>41550</v>
      </c>
    </row>
    <row r="19" spans="1:16" s="45" customFormat="1" x14ac:dyDescent="0.4">
      <c r="A19" s="42" t="s">
        <v>129</v>
      </c>
      <c r="B19" s="52">
        <v>21833</v>
      </c>
      <c r="C19" s="52">
        <v>20930</v>
      </c>
      <c r="D19" s="52">
        <v>25725</v>
      </c>
      <c r="E19" s="52">
        <v>28105</v>
      </c>
      <c r="F19" s="52">
        <v>20538</v>
      </c>
      <c r="G19" s="52">
        <v>28833</v>
      </c>
      <c r="H19" s="52">
        <v>35749</v>
      </c>
      <c r="I19" s="52">
        <v>33474</v>
      </c>
      <c r="J19" s="52">
        <v>28021</v>
      </c>
      <c r="K19" s="52">
        <v>26201</v>
      </c>
      <c r="L19" s="52">
        <v>24570</v>
      </c>
      <c r="M19" s="52">
        <v>23212</v>
      </c>
      <c r="N19" s="43">
        <f t="shared" si="0"/>
        <v>317191</v>
      </c>
      <c r="O19" s="44">
        <f t="shared" si="3"/>
        <v>0.40612006501946507</v>
      </c>
      <c r="P19" s="43">
        <f t="shared" si="2"/>
        <v>145964</v>
      </c>
    </row>
    <row r="20" spans="1:16" s="45" customFormat="1" x14ac:dyDescent="0.4">
      <c r="A20" s="42" t="s">
        <v>5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43">
        <f t="shared" si="0"/>
        <v>0</v>
      </c>
      <c r="O20" s="44">
        <f t="shared" si="3"/>
        <v>0</v>
      </c>
      <c r="P20" s="43">
        <f t="shared" si="2"/>
        <v>0</v>
      </c>
    </row>
    <row r="21" spans="1:16" s="45" customFormat="1" x14ac:dyDescent="0.4">
      <c r="A21" s="42" t="s">
        <v>127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43">
        <f t="shared" si="0"/>
        <v>0</v>
      </c>
      <c r="O21" s="44">
        <f t="shared" si="3"/>
        <v>0</v>
      </c>
      <c r="P21" s="43">
        <f t="shared" si="2"/>
        <v>0</v>
      </c>
    </row>
    <row r="22" spans="1:16" s="45" customFormat="1" x14ac:dyDescent="0.4">
      <c r="A22" s="42" t="s">
        <v>114</v>
      </c>
      <c r="B22" s="52">
        <v>69</v>
      </c>
      <c r="C22" s="52">
        <v>645</v>
      </c>
      <c r="D22" s="52">
        <v>115</v>
      </c>
      <c r="E22" s="52">
        <v>15</v>
      </c>
      <c r="F22" s="52">
        <v>15</v>
      </c>
      <c r="G22" s="52">
        <v>315</v>
      </c>
      <c r="H22" s="52">
        <v>330</v>
      </c>
      <c r="I22" s="52">
        <v>15</v>
      </c>
      <c r="J22" s="52">
        <v>15</v>
      </c>
      <c r="K22" s="52">
        <v>115</v>
      </c>
      <c r="L22" s="52">
        <v>15</v>
      </c>
      <c r="M22" s="52">
        <v>15</v>
      </c>
      <c r="N22" s="43">
        <f t="shared" si="0"/>
        <v>1679</v>
      </c>
      <c r="O22" s="44">
        <f t="shared" si="3"/>
        <v>2.1497318308769222E-3</v>
      </c>
      <c r="P22" s="43">
        <f t="shared" si="2"/>
        <v>1174</v>
      </c>
    </row>
    <row r="23" spans="1:16" s="45" customFormat="1" x14ac:dyDescent="0.4">
      <c r="A23" s="42" t="s">
        <v>115</v>
      </c>
      <c r="B23" s="52">
        <v>44</v>
      </c>
      <c r="C23" s="52">
        <v>16</v>
      </c>
      <c r="D23" s="52">
        <v>68</v>
      </c>
      <c r="E23" s="52">
        <v>108</v>
      </c>
      <c r="F23" s="52">
        <v>204</v>
      </c>
      <c r="G23" s="52">
        <v>244</v>
      </c>
      <c r="H23" s="52">
        <v>368</v>
      </c>
      <c r="I23" s="52">
        <v>392</v>
      </c>
      <c r="J23" s="52">
        <v>348</v>
      </c>
      <c r="K23" s="52">
        <v>84</v>
      </c>
      <c r="L23" s="52">
        <v>36</v>
      </c>
      <c r="M23" s="52">
        <v>28</v>
      </c>
      <c r="N23" s="43">
        <f t="shared" si="0"/>
        <v>1940</v>
      </c>
      <c r="O23" s="44">
        <f t="shared" si="3"/>
        <v>2.4839069397863188E-3</v>
      </c>
      <c r="P23" s="43">
        <f t="shared" si="2"/>
        <v>684</v>
      </c>
    </row>
    <row r="24" spans="1:16" s="45" customFormat="1" x14ac:dyDescent="0.4">
      <c r="A24" s="42" t="s">
        <v>147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7</v>
      </c>
      <c r="L24" s="52">
        <v>0</v>
      </c>
      <c r="M24" s="52">
        <v>0</v>
      </c>
      <c r="N24" s="43">
        <f t="shared" si="0"/>
        <v>7</v>
      </c>
      <c r="O24" s="44">
        <f t="shared" si="3"/>
        <v>8.9625508136619746E-6</v>
      </c>
      <c r="P24" s="43">
        <f t="shared" si="2"/>
        <v>0</v>
      </c>
    </row>
    <row r="25" spans="1:16" s="45" customFormat="1" x14ac:dyDescent="0.4">
      <c r="A25" s="42" t="s">
        <v>10</v>
      </c>
      <c r="B25" s="52">
        <v>110</v>
      </c>
      <c r="C25" s="52">
        <v>93.5</v>
      </c>
      <c r="D25" s="52">
        <v>134.19999999999999</v>
      </c>
      <c r="E25" s="52">
        <v>97.6</v>
      </c>
      <c r="F25" s="52">
        <v>134.19999999999999</v>
      </c>
      <c r="G25" s="52">
        <v>0</v>
      </c>
      <c r="H25" s="52">
        <v>0</v>
      </c>
      <c r="I25" s="52">
        <v>0</v>
      </c>
      <c r="J25" s="52">
        <v>104.5</v>
      </c>
      <c r="K25" s="52">
        <v>121</v>
      </c>
      <c r="L25" s="52">
        <v>104.5</v>
      </c>
      <c r="M25" s="52">
        <v>66</v>
      </c>
      <c r="N25" s="43">
        <f t="shared" si="0"/>
        <v>965.5</v>
      </c>
      <c r="O25" s="44">
        <f t="shared" si="3"/>
        <v>1.2361918300843767E-3</v>
      </c>
      <c r="P25" s="43">
        <f t="shared" si="2"/>
        <v>569.5</v>
      </c>
    </row>
    <row r="26" spans="1:16" s="45" customFormat="1" x14ac:dyDescent="0.4">
      <c r="A26" s="42" t="s">
        <v>11</v>
      </c>
      <c r="B26" s="52">
        <v>69.25</v>
      </c>
      <c r="C26" s="52">
        <v>18.75</v>
      </c>
      <c r="D26" s="52">
        <v>15</v>
      </c>
      <c r="E26" s="52">
        <v>56.25</v>
      </c>
      <c r="F26" s="52">
        <v>22.5</v>
      </c>
      <c r="G26" s="52">
        <v>63.75</v>
      </c>
      <c r="H26" s="52">
        <v>18.75</v>
      </c>
      <c r="I26" s="52">
        <v>131.25</v>
      </c>
      <c r="J26" s="52">
        <v>48.75</v>
      </c>
      <c r="K26" s="52">
        <v>41.25</v>
      </c>
      <c r="L26" s="52">
        <v>18.75</v>
      </c>
      <c r="M26" s="52">
        <v>15</v>
      </c>
      <c r="N26" s="43">
        <f t="shared" si="0"/>
        <v>519.25</v>
      </c>
      <c r="O26" s="44">
        <f t="shared" si="3"/>
        <v>6.6482921571342577E-4</v>
      </c>
      <c r="P26" s="43">
        <f t="shared" si="2"/>
        <v>245.5</v>
      </c>
    </row>
    <row r="27" spans="1:16" s="45" customFormat="1" x14ac:dyDescent="0.4">
      <c r="A27" s="42" t="s">
        <v>116</v>
      </c>
      <c r="B27" s="52">
        <v>851</v>
      </c>
      <c r="C27" s="52">
        <v>778</v>
      </c>
      <c r="D27" s="52">
        <v>1001</v>
      </c>
      <c r="E27" s="52">
        <v>1486</v>
      </c>
      <c r="F27" s="52">
        <v>1620</v>
      </c>
      <c r="G27" s="52">
        <v>1749</v>
      </c>
      <c r="H27" s="52">
        <v>3502</v>
      </c>
      <c r="I27" s="52">
        <v>3362</v>
      </c>
      <c r="J27" s="52">
        <v>1660</v>
      </c>
      <c r="K27" s="52">
        <v>1123</v>
      </c>
      <c r="L27" s="52">
        <v>1088</v>
      </c>
      <c r="M27" s="52">
        <v>1195</v>
      </c>
      <c r="N27" s="43">
        <f t="shared" si="0"/>
        <v>19415</v>
      </c>
      <c r="O27" s="44">
        <f t="shared" si="3"/>
        <v>2.4858274863892461E-2</v>
      </c>
      <c r="P27" s="43">
        <f t="shared" si="2"/>
        <v>7485</v>
      </c>
    </row>
    <row r="28" spans="1:16" s="45" customFormat="1" x14ac:dyDescent="0.4">
      <c r="A28" s="42" t="s">
        <v>130</v>
      </c>
      <c r="B28" s="52">
        <v>5344.5</v>
      </c>
      <c r="C28" s="52">
        <v>4949</v>
      </c>
      <c r="D28" s="52">
        <v>6051.5</v>
      </c>
      <c r="E28" s="52">
        <v>6975.5</v>
      </c>
      <c r="F28" s="52">
        <v>5204.5</v>
      </c>
      <c r="G28" s="52">
        <v>7469</v>
      </c>
      <c r="H28" s="52">
        <v>8557.5</v>
      </c>
      <c r="I28" s="52">
        <v>8127</v>
      </c>
      <c r="J28" s="52">
        <v>7444.5</v>
      </c>
      <c r="K28" s="52">
        <v>6940.5</v>
      </c>
      <c r="L28" s="52">
        <v>6009.5</v>
      </c>
      <c r="M28" s="52">
        <v>6240.5</v>
      </c>
      <c r="N28" s="43">
        <f t="shared" si="0"/>
        <v>79313.5</v>
      </c>
      <c r="O28" s="44">
        <f t="shared" si="3"/>
        <v>0.10155018199419701</v>
      </c>
      <c r="P28" s="43">
        <f t="shared" si="2"/>
        <v>35994</v>
      </c>
    </row>
    <row r="29" spans="1:16" s="45" customFormat="1" x14ac:dyDescent="0.4">
      <c r="A29" s="42" t="s">
        <v>152</v>
      </c>
      <c r="B29" s="52">
        <v>0</v>
      </c>
      <c r="C29" s="52">
        <v>0</v>
      </c>
      <c r="D29" s="52">
        <v>0</v>
      </c>
      <c r="E29" s="52">
        <v>2</v>
      </c>
      <c r="F29" s="52">
        <v>16</v>
      </c>
      <c r="G29" s="52">
        <v>26</v>
      </c>
      <c r="H29" s="52">
        <v>74</v>
      </c>
      <c r="I29" s="52">
        <v>66</v>
      </c>
      <c r="J29" s="52">
        <v>48</v>
      </c>
      <c r="K29" s="52">
        <v>2</v>
      </c>
      <c r="L29" s="52">
        <v>2</v>
      </c>
      <c r="M29" s="52">
        <v>2</v>
      </c>
      <c r="N29" s="43">
        <f t="shared" si="0"/>
        <v>238</v>
      </c>
      <c r="O29" s="44"/>
      <c r="P29" s="43">
        <f t="shared" si="2"/>
        <v>44</v>
      </c>
    </row>
    <row r="30" spans="1:16" s="45" customFormat="1" x14ac:dyDescent="0.4">
      <c r="A30" s="42" t="s">
        <v>140</v>
      </c>
      <c r="B30" s="52">
        <v>12</v>
      </c>
      <c r="C30" s="52">
        <v>20</v>
      </c>
      <c r="D30" s="52">
        <v>16</v>
      </c>
      <c r="E30" s="52">
        <v>50</v>
      </c>
      <c r="F30" s="52">
        <v>28</v>
      </c>
      <c r="G30" s="52">
        <v>82</v>
      </c>
      <c r="H30" s="52">
        <v>210</v>
      </c>
      <c r="I30" s="52">
        <v>156</v>
      </c>
      <c r="J30" s="52">
        <v>98</v>
      </c>
      <c r="K30" s="52">
        <v>22</v>
      </c>
      <c r="L30" s="52">
        <v>24</v>
      </c>
      <c r="M30" s="52">
        <v>10</v>
      </c>
      <c r="N30" s="43">
        <f t="shared" si="0"/>
        <v>728</v>
      </c>
      <c r="O30" s="44">
        <f t="shared" ref="O30:O44" si="4">N30/$N$45</f>
        <v>9.3210528462084536E-4</v>
      </c>
      <c r="P30" s="43">
        <f t="shared" si="2"/>
        <v>208</v>
      </c>
    </row>
    <row r="31" spans="1:16" s="45" customFormat="1" x14ac:dyDescent="0.4">
      <c r="A31" s="42" t="s">
        <v>14</v>
      </c>
      <c r="B31" s="52">
        <v>23</v>
      </c>
      <c r="C31" s="52">
        <v>46</v>
      </c>
      <c r="D31" s="52">
        <v>115</v>
      </c>
      <c r="E31" s="52">
        <v>184</v>
      </c>
      <c r="F31" s="52">
        <v>161</v>
      </c>
      <c r="G31" s="52">
        <v>322</v>
      </c>
      <c r="H31" s="52">
        <v>115</v>
      </c>
      <c r="I31" s="52">
        <v>184</v>
      </c>
      <c r="J31" s="52">
        <v>92</v>
      </c>
      <c r="K31" s="52">
        <v>69</v>
      </c>
      <c r="L31" s="52">
        <v>115</v>
      </c>
      <c r="M31" s="52">
        <v>138</v>
      </c>
      <c r="N31" s="43">
        <f t="shared" si="0"/>
        <v>1564</v>
      </c>
      <c r="O31" s="44">
        <f t="shared" si="4"/>
        <v>2.0024899246524753E-3</v>
      </c>
      <c r="P31" s="43">
        <f t="shared" si="2"/>
        <v>851</v>
      </c>
    </row>
    <row r="32" spans="1:16" s="45" customFormat="1" x14ac:dyDescent="0.4">
      <c r="A32" s="42" t="s">
        <v>142</v>
      </c>
      <c r="B32" s="52">
        <v>0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43">
        <f t="shared" si="0"/>
        <v>0</v>
      </c>
      <c r="O32" s="44">
        <f t="shared" si="4"/>
        <v>0</v>
      </c>
      <c r="P32" s="43">
        <f t="shared" si="2"/>
        <v>0</v>
      </c>
    </row>
    <row r="33" spans="1:16" s="45" customFormat="1" x14ac:dyDescent="0.4">
      <c r="A33" s="42" t="s">
        <v>118</v>
      </c>
      <c r="B33" s="52">
        <v>2844</v>
      </c>
      <c r="C33" s="52">
        <v>2538</v>
      </c>
      <c r="D33" s="52">
        <v>3114</v>
      </c>
      <c r="E33" s="52">
        <v>2736</v>
      </c>
      <c r="F33" s="52">
        <v>2349</v>
      </c>
      <c r="G33" s="52">
        <v>2970</v>
      </c>
      <c r="H33" s="52">
        <v>3177</v>
      </c>
      <c r="I33" s="52">
        <v>3186</v>
      </c>
      <c r="J33" s="52">
        <v>2511</v>
      </c>
      <c r="K33" s="52">
        <v>3015</v>
      </c>
      <c r="L33" s="52">
        <v>2628</v>
      </c>
      <c r="M33" s="52">
        <v>2286</v>
      </c>
      <c r="N33" s="43">
        <f t="shared" si="0"/>
        <v>33354</v>
      </c>
      <c r="O33" s="44">
        <f t="shared" si="4"/>
        <v>4.2705274262697358E-2</v>
      </c>
      <c r="P33" s="43">
        <f t="shared" si="2"/>
        <v>16551</v>
      </c>
    </row>
    <row r="34" spans="1:16" s="45" customFormat="1" x14ac:dyDescent="0.4">
      <c r="A34" s="42" t="s">
        <v>119</v>
      </c>
      <c r="B34" s="52">
        <v>1568</v>
      </c>
      <c r="C34" s="52">
        <v>1302</v>
      </c>
      <c r="D34" s="52">
        <v>1946</v>
      </c>
      <c r="E34" s="52">
        <v>1890</v>
      </c>
      <c r="F34" s="52">
        <v>1260</v>
      </c>
      <c r="G34" s="52">
        <v>1764</v>
      </c>
      <c r="H34" s="52">
        <v>1358</v>
      </c>
      <c r="I34" s="52">
        <v>1764</v>
      </c>
      <c r="J34" s="52">
        <v>1386</v>
      </c>
      <c r="K34" s="52">
        <v>1848</v>
      </c>
      <c r="L34" s="52">
        <v>1414</v>
      </c>
      <c r="M34" s="52">
        <v>1414</v>
      </c>
      <c r="N34" s="43">
        <f t="shared" si="0"/>
        <v>18914</v>
      </c>
      <c r="O34" s="44">
        <f t="shared" si="4"/>
        <v>2.4216812298514655E-2</v>
      </c>
      <c r="P34" s="43">
        <f t="shared" si="2"/>
        <v>9730</v>
      </c>
    </row>
    <row r="35" spans="1:16" s="45" customFormat="1" x14ac:dyDescent="0.4">
      <c r="A35" s="42" t="s">
        <v>120</v>
      </c>
      <c r="B35" s="52">
        <v>456</v>
      </c>
      <c r="C35" s="52">
        <v>608</v>
      </c>
      <c r="D35" s="52">
        <v>1121</v>
      </c>
      <c r="E35" s="52">
        <v>893</v>
      </c>
      <c r="F35" s="52">
        <v>874</v>
      </c>
      <c r="G35" s="52">
        <v>1045</v>
      </c>
      <c r="H35" s="52">
        <v>1311</v>
      </c>
      <c r="I35" s="52">
        <v>1330</v>
      </c>
      <c r="J35" s="52">
        <v>1178</v>
      </c>
      <c r="K35" s="52">
        <v>874</v>
      </c>
      <c r="L35" s="52">
        <v>646</v>
      </c>
      <c r="M35" s="52">
        <v>418</v>
      </c>
      <c r="N35" s="43">
        <f t="shared" si="0"/>
        <v>10754</v>
      </c>
      <c r="O35" s="44">
        <f t="shared" si="4"/>
        <v>1.3769038778588696E-2</v>
      </c>
      <c r="P35" s="43">
        <f t="shared" si="2"/>
        <v>4997</v>
      </c>
    </row>
    <row r="36" spans="1:16" s="45" customFormat="1" x14ac:dyDescent="0.4">
      <c r="A36" s="42" t="s">
        <v>121</v>
      </c>
      <c r="B36" s="52">
        <v>625</v>
      </c>
      <c r="C36" s="52">
        <v>950</v>
      </c>
      <c r="D36" s="52">
        <v>1225</v>
      </c>
      <c r="E36" s="52">
        <v>1800</v>
      </c>
      <c r="F36" s="52">
        <v>1300</v>
      </c>
      <c r="G36" s="52">
        <v>2050</v>
      </c>
      <c r="H36" s="52">
        <v>2400</v>
      </c>
      <c r="I36" s="52">
        <v>2525</v>
      </c>
      <c r="J36" s="52">
        <v>1850</v>
      </c>
      <c r="K36" s="52">
        <v>1400</v>
      </c>
      <c r="L36" s="52">
        <v>2025</v>
      </c>
      <c r="M36" s="52">
        <v>550</v>
      </c>
      <c r="N36" s="43">
        <f t="shared" si="0"/>
        <v>18700</v>
      </c>
      <c r="O36" s="44">
        <f t="shared" si="4"/>
        <v>2.3942814316496988E-2</v>
      </c>
      <c r="P36" s="43">
        <f t="shared" si="2"/>
        <v>7950</v>
      </c>
    </row>
    <row r="37" spans="1:16" s="45" customFormat="1" x14ac:dyDescent="0.4">
      <c r="A37" s="42" t="s">
        <v>122</v>
      </c>
      <c r="B37" s="52">
        <v>288</v>
      </c>
      <c r="C37" s="52">
        <v>384</v>
      </c>
      <c r="D37" s="52">
        <v>864</v>
      </c>
      <c r="E37" s="52">
        <v>1024</v>
      </c>
      <c r="F37" s="52">
        <v>864</v>
      </c>
      <c r="G37" s="52">
        <v>1152</v>
      </c>
      <c r="H37" s="52">
        <v>1600</v>
      </c>
      <c r="I37" s="52">
        <v>1504</v>
      </c>
      <c r="J37" s="52">
        <v>800</v>
      </c>
      <c r="K37" s="52">
        <v>512</v>
      </c>
      <c r="L37" s="52">
        <v>352</v>
      </c>
      <c r="M37" s="52">
        <v>160</v>
      </c>
      <c r="N37" s="43">
        <f t="shared" si="0"/>
        <v>9504</v>
      </c>
      <c r="O37" s="44">
        <f t="shared" si="4"/>
        <v>1.2168583276149059E-2</v>
      </c>
      <c r="P37" s="43">
        <f t="shared" si="2"/>
        <v>4576</v>
      </c>
    </row>
    <row r="38" spans="1:16" s="45" customFormat="1" x14ac:dyDescent="0.4">
      <c r="A38" s="42" t="s">
        <v>123</v>
      </c>
      <c r="B38" s="52">
        <v>200</v>
      </c>
      <c r="C38" s="52">
        <v>80</v>
      </c>
      <c r="D38" s="52">
        <v>440</v>
      </c>
      <c r="E38" s="52">
        <v>480</v>
      </c>
      <c r="F38" s="52">
        <v>360</v>
      </c>
      <c r="G38" s="52">
        <v>400</v>
      </c>
      <c r="H38" s="52">
        <v>480</v>
      </c>
      <c r="I38" s="52">
        <v>360</v>
      </c>
      <c r="J38" s="52">
        <v>600</v>
      </c>
      <c r="K38" s="52">
        <v>560</v>
      </c>
      <c r="L38" s="52">
        <v>600</v>
      </c>
      <c r="M38" s="52">
        <v>240</v>
      </c>
      <c r="N38" s="43">
        <f t="shared" si="0"/>
        <v>4800</v>
      </c>
      <c r="O38" s="44">
        <f t="shared" si="4"/>
        <v>6.1457491293682113E-3</v>
      </c>
      <c r="P38" s="43">
        <f t="shared" si="2"/>
        <v>1960</v>
      </c>
    </row>
    <row r="39" spans="1:16" s="45" customFormat="1" x14ac:dyDescent="0.4">
      <c r="A39" s="42" t="s">
        <v>124</v>
      </c>
      <c r="B39" s="52">
        <v>196</v>
      </c>
      <c r="C39" s="52">
        <v>245</v>
      </c>
      <c r="D39" s="52">
        <v>294</v>
      </c>
      <c r="E39" s="52">
        <v>343</v>
      </c>
      <c r="F39" s="52">
        <v>196</v>
      </c>
      <c r="G39" s="52">
        <v>392</v>
      </c>
      <c r="H39" s="52">
        <v>245</v>
      </c>
      <c r="I39" s="52">
        <v>245</v>
      </c>
      <c r="J39" s="52">
        <v>196</v>
      </c>
      <c r="K39" s="52">
        <v>196</v>
      </c>
      <c r="L39" s="52">
        <v>245</v>
      </c>
      <c r="M39" s="52">
        <v>147</v>
      </c>
      <c r="N39" s="43">
        <f t="shared" si="0"/>
        <v>2940</v>
      </c>
      <c r="O39" s="44">
        <f t="shared" si="4"/>
        <v>3.7642713417380294E-3</v>
      </c>
      <c r="P39" s="43">
        <f t="shared" si="2"/>
        <v>1666</v>
      </c>
    </row>
    <row r="40" spans="1:16" s="45" customFormat="1" x14ac:dyDescent="0.4">
      <c r="A40" s="42" t="s">
        <v>125</v>
      </c>
      <c r="B40" s="52">
        <v>174</v>
      </c>
      <c r="C40" s="52">
        <v>348</v>
      </c>
      <c r="D40" s="52">
        <v>0</v>
      </c>
      <c r="E40" s="52">
        <v>522</v>
      </c>
      <c r="F40" s="52">
        <v>0</v>
      </c>
      <c r="G40" s="52">
        <v>58</v>
      </c>
      <c r="H40" s="52">
        <v>414</v>
      </c>
      <c r="I40" s="52">
        <v>232</v>
      </c>
      <c r="J40" s="52">
        <v>174</v>
      </c>
      <c r="K40" s="52">
        <v>116</v>
      </c>
      <c r="L40" s="52">
        <v>174</v>
      </c>
      <c r="M40" s="52">
        <v>174</v>
      </c>
      <c r="N40" s="43">
        <f t="shared" si="0"/>
        <v>2386</v>
      </c>
      <c r="O40" s="44">
        <f t="shared" si="4"/>
        <v>3.0549494630567817E-3</v>
      </c>
      <c r="P40" s="43">
        <f t="shared" si="2"/>
        <v>1102</v>
      </c>
    </row>
    <row r="41" spans="1:16" s="45" customFormat="1" x14ac:dyDescent="0.4">
      <c r="A41" s="42" t="s">
        <v>126</v>
      </c>
      <c r="B41" s="52">
        <v>1035</v>
      </c>
      <c r="C41" s="52">
        <v>414</v>
      </c>
      <c r="D41" s="52">
        <v>345</v>
      </c>
      <c r="E41" s="52">
        <v>759</v>
      </c>
      <c r="F41" s="52">
        <v>414</v>
      </c>
      <c r="G41" s="52">
        <v>690</v>
      </c>
      <c r="H41" s="52">
        <v>0</v>
      </c>
      <c r="I41" s="52">
        <v>1242</v>
      </c>
      <c r="J41" s="52">
        <v>690</v>
      </c>
      <c r="K41" s="52">
        <v>483</v>
      </c>
      <c r="L41" s="52">
        <v>345</v>
      </c>
      <c r="M41" s="52">
        <v>345</v>
      </c>
      <c r="N41" s="43">
        <f t="shared" si="0"/>
        <v>6762</v>
      </c>
      <c r="O41" s="44">
        <f t="shared" si="4"/>
        <v>8.6578240859974676E-3</v>
      </c>
      <c r="P41" s="43">
        <f t="shared" si="2"/>
        <v>3657</v>
      </c>
    </row>
    <row r="42" spans="1:16" s="45" customFormat="1" x14ac:dyDescent="0.4">
      <c r="A42" s="42" t="s">
        <v>10</v>
      </c>
      <c r="B42" s="52">
        <v>12</v>
      </c>
      <c r="C42" s="52">
        <v>10.199999999999999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11.4</v>
      </c>
      <c r="K42" s="52">
        <v>13.2</v>
      </c>
      <c r="L42" s="52">
        <v>11.4</v>
      </c>
      <c r="M42" s="52">
        <v>7.2</v>
      </c>
      <c r="N42" s="43">
        <f t="shared" si="0"/>
        <v>65.399999999999991</v>
      </c>
      <c r="O42" s="44">
        <f t="shared" si="4"/>
        <v>8.3735831887641858E-5</v>
      </c>
      <c r="P42" s="43">
        <f t="shared" si="2"/>
        <v>22.2</v>
      </c>
    </row>
    <row r="43" spans="1:16" s="45" customFormat="1" x14ac:dyDescent="0.4">
      <c r="A43" s="42" t="s">
        <v>141</v>
      </c>
      <c r="B43" s="52">
        <v>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43">
        <f t="shared" si="0"/>
        <v>0</v>
      </c>
      <c r="O43" s="44">
        <f t="shared" si="4"/>
        <v>0</v>
      </c>
      <c r="P43" s="43">
        <f t="shared" si="2"/>
        <v>0</v>
      </c>
    </row>
    <row r="44" spans="1:16" s="45" customFormat="1" x14ac:dyDescent="0.4">
      <c r="A44" s="42" t="s">
        <v>138</v>
      </c>
      <c r="B44" s="52">
        <v>950</v>
      </c>
      <c r="C44" s="52">
        <v>300</v>
      </c>
      <c r="D44" s="52">
        <v>275</v>
      </c>
      <c r="E44" s="52">
        <v>300</v>
      </c>
      <c r="F44" s="52">
        <v>250</v>
      </c>
      <c r="G44" s="52">
        <v>100</v>
      </c>
      <c r="H44" s="52">
        <v>150</v>
      </c>
      <c r="I44" s="52">
        <v>150</v>
      </c>
      <c r="J44" s="52">
        <v>50</v>
      </c>
      <c r="K44" s="52">
        <v>75</v>
      </c>
      <c r="L44" s="52">
        <v>100</v>
      </c>
      <c r="M44" s="52">
        <v>650</v>
      </c>
      <c r="N44" s="43">
        <f>SUM(B44:M44)</f>
        <v>3350</v>
      </c>
      <c r="O44" s="44">
        <f t="shared" si="4"/>
        <v>4.2892207465382304E-3</v>
      </c>
      <c r="P44" s="43">
        <f t="shared" si="2"/>
        <v>2175</v>
      </c>
    </row>
    <row r="45" spans="1:16" x14ac:dyDescent="0.4">
      <c r="A45" s="5" t="s">
        <v>25</v>
      </c>
      <c r="B45" s="39">
        <f t="shared" ref="B45:O45" si="5">SUM(B4:B44)</f>
        <v>55815.75</v>
      </c>
      <c r="C45" s="39">
        <f t="shared" si="5"/>
        <v>49366.45</v>
      </c>
      <c r="D45" s="39">
        <f t="shared" si="5"/>
        <v>62079.7</v>
      </c>
      <c r="E45" s="39">
        <f t="shared" si="5"/>
        <v>66330.350000000006</v>
      </c>
      <c r="F45" s="39">
        <f t="shared" si="5"/>
        <v>55080.2</v>
      </c>
      <c r="G45" s="39">
        <f t="shared" si="5"/>
        <v>75316.75</v>
      </c>
      <c r="H45" s="39">
        <f t="shared" si="5"/>
        <v>85323.25</v>
      </c>
      <c r="I45" s="39">
        <f t="shared" si="5"/>
        <v>83097.25</v>
      </c>
      <c r="J45" s="39">
        <f t="shared" si="5"/>
        <v>71364.149999999994</v>
      </c>
      <c r="K45" s="39">
        <f t="shared" si="5"/>
        <v>61993.95</v>
      </c>
      <c r="L45" s="39">
        <f t="shared" si="5"/>
        <v>59603.15</v>
      </c>
      <c r="M45" s="39">
        <f t="shared" si="5"/>
        <v>55656.7</v>
      </c>
      <c r="N45" s="39">
        <f t="shared" si="5"/>
        <v>781027.65</v>
      </c>
      <c r="O45" s="40">
        <f t="shared" si="5"/>
        <v>0.99969527327233532</v>
      </c>
      <c r="P45" s="9">
        <f t="shared" si="2"/>
        <v>363989.2</v>
      </c>
    </row>
    <row r="46" spans="1:16" x14ac:dyDescent="0.4">
      <c r="A46" s="12"/>
    </row>
    <row r="49" spans="1:14" ht="16.8" x14ac:dyDescent="0.4">
      <c r="A49" t="s">
        <v>148</v>
      </c>
      <c r="B49" s="39">
        <f t="shared" ref="B49:M49" si="6">+B4+B5+B6+B7+B8+B11+B12+B14+B19+B21+B23+B28+B33+B34+B35+B36+B37+B38+B39+B40+B41+B10+B15+B24+B25+B26+B29+B32+B42+B22</f>
        <v>47031.75</v>
      </c>
      <c r="C49" s="39">
        <f t="shared" si="6"/>
        <v>40336.449999999997</v>
      </c>
      <c r="D49" s="39">
        <f t="shared" si="6"/>
        <v>51352.7</v>
      </c>
      <c r="E49" s="39">
        <f t="shared" si="6"/>
        <v>53587.35</v>
      </c>
      <c r="F49" s="39">
        <f t="shared" si="6"/>
        <v>40090.199999999997</v>
      </c>
      <c r="G49" s="39">
        <f t="shared" si="6"/>
        <v>60916.75</v>
      </c>
      <c r="H49" s="39">
        <f t="shared" si="6"/>
        <v>65296.25</v>
      </c>
      <c r="I49" s="39">
        <f t="shared" si="6"/>
        <v>62313.25</v>
      </c>
      <c r="J49" s="39">
        <f t="shared" si="6"/>
        <v>55769.15</v>
      </c>
      <c r="K49" s="39">
        <f t="shared" si="6"/>
        <v>51511.95</v>
      </c>
      <c r="L49" s="39">
        <f t="shared" si="6"/>
        <v>49410.15</v>
      </c>
      <c r="M49" s="39">
        <f t="shared" si="6"/>
        <v>45010.7</v>
      </c>
      <c r="N49" s="39">
        <f>+N4+N5+N6+N7+N8+N11+N12+N14+N19+N21+N23+N28+N33+N34+N35+N36+N37+N38+N39+N40+N41+N10+N15+N24+N25+N26+N29+N32+N42+N22</f>
        <v>622626.65</v>
      </c>
    </row>
    <row r="50" spans="1:14" s="50" customFormat="1" ht="16.8" x14ac:dyDescent="0.4">
      <c r="A50" s="53" t="s">
        <v>149</v>
      </c>
      <c r="B50" s="50">
        <f t="shared" ref="B50:M50" si="7">+B9+B13+B17+B18+B20+B27+B30+B16+B31+B44</f>
        <v>8784</v>
      </c>
      <c r="C50" s="50">
        <f t="shared" si="7"/>
        <v>9030</v>
      </c>
      <c r="D50" s="50">
        <f t="shared" si="7"/>
        <v>10727</v>
      </c>
      <c r="E50" s="50">
        <f t="shared" si="7"/>
        <v>12743</v>
      </c>
      <c r="F50" s="50">
        <f t="shared" si="7"/>
        <v>14990</v>
      </c>
      <c r="G50" s="50">
        <f t="shared" si="7"/>
        <v>14400</v>
      </c>
      <c r="H50" s="50">
        <f t="shared" si="7"/>
        <v>20027</v>
      </c>
      <c r="I50" s="50">
        <f t="shared" si="7"/>
        <v>20784</v>
      </c>
      <c r="J50" s="50">
        <f t="shared" si="7"/>
        <v>15595</v>
      </c>
      <c r="K50" s="50">
        <f t="shared" si="7"/>
        <v>10482</v>
      </c>
      <c r="L50" s="50">
        <f t="shared" si="7"/>
        <v>10193</v>
      </c>
      <c r="M50" s="50">
        <f t="shared" si="7"/>
        <v>10646</v>
      </c>
      <c r="N50" s="50">
        <f>+N9+N13+N17+N18+N20+N27+N30+N16+N31+N44</f>
        <v>158401</v>
      </c>
    </row>
    <row r="51" spans="1:14" s="48" customFormat="1" ht="17.399999999999999" thickBot="1" x14ac:dyDescent="0.45">
      <c r="A51" s="46" t="s">
        <v>143</v>
      </c>
      <c r="B51" s="47">
        <f t="shared" ref="B51:M51" si="8">SUM(B49:B50)</f>
        <v>55815.75</v>
      </c>
      <c r="C51" s="47">
        <f t="shared" si="8"/>
        <v>49366.45</v>
      </c>
      <c r="D51" s="47">
        <f t="shared" si="8"/>
        <v>62079.7</v>
      </c>
      <c r="E51" s="47">
        <f t="shared" si="8"/>
        <v>66330.350000000006</v>
      </c>
      <c r="F51" s="47">
        <f t="shared" si="8"/>
        <v>55080.2</v>
      </c>
      <c r="G51" s="47">
        <f t="shared" si="8"/>
        <v>75316.75</v>
      </c>
      <c r="H51" s="47">
        <f t="shared" si="8"/>
        <v>85323.25</v>
      </c>
      <c r="I51" s="47">
        <f t="shared" si="8"/>
        <v>83097.25</v>
      </c>
      <c r="J51" s="47">
        <f t="shared" si="8"/>
        <v>71364.149999999994</v>
      </c>
      <c r="K51" s="47">
        <f t="shared" si="8"/>
        <v>61993.95</v>
      </c>
      <c r="L51" s="47">
        <f t="shared" si="8"/>
        <v>59603.15</v>
      </c>
      <c r="M51" s="47">
        <f t="shared" si="8"/>
        <v>55656.7</v>
      </c>
      <c r="N51" s="47">
        <f>SUM(N49:N50)</f>
        <v>781027.65</v>
      </c>
    </row>
    <row r="52" spans="1:14" ht="16.8" thickTop="1" x14ac:dyDescent="0.4"/>
    <row r="53" spans="1:14" x14ac:dyDescent="0.4">
      <c r="B53" s="39">
        <f>+B51-B45</f>
        <v>0</v>
      </c>
      <c r="C53" s="39">
        <f t="shared" ref="C53:M53" si="9">+C51-C45</f>
        <v>0</v>
      </c>
      <c r="D53" s="39">
        <f t="shared" si="9"/>
        <v>0</v>
      </c>
      <c r="E53" s="39">
        <f t="shared" si="9"/>
        <v>0</v>
      </c>
      <c r="F53" s="39">
        <f t="shared" si="9"/>
        <v>0</v>
      </c>
      <c r="G53" s="39">
        <f t="shared" si="9"/>
        <v>0</v>
      </c>
      <c r="H53" s="39">
        <f t="shared" si="9"/>
        <v>0</v>
      </c>
      <c r="I53" s="39">
        <f t="shared" si="9"/>
        <v>0</v>
      </c>
      <c r="J53" s="39">
        <f t="shared" si="9"/>
        <v>0</v>
      </c>
      <c r="K53" s="39">
        <f t="shared" si="9"/>
        <v>0</v>
      </c>
      <c r="L53" s="39">
        <f t="shared" si="9"/>
        <v>0</v>
      </c>
      <c r="M53" s="39">
        <f t="shared" si="9"/>
        <v>0</v>
      </c>
    </row>
    <row r="60" spans="1:14" x14ac:dyDescent="0.4">
      <c r="A60" s="60" t="s">
        <v>204</v>
      </c>
      <c r="B60" s="61">
        <f>+B4+B5+B6+B7+B8+B10+B11+B12+B14+B15</f>
        <v>12164</v>
      </c>
      <c r="C60" s="61">
        <f t="shared" ref="C60:M60" si="10">+C4+C5+C6+C7+C8+C10+C11+C12+C14+C15</f>
        <v>6805</v>
      </c>
      <c r="D60" s="61">
        <f t="shared" si="10"/>
        <v>9895</v>
      </c>
      <c r="E60" s="61">
        <f t="shared" si="10"/>
        <v>7781</v>
      </c>
      <c r="F60" s="61">
        <f t="shared" si="10"/>
        <v>6339</v>
      </c>
      <c r="G60" s="61">
        <f t="shared" si="10"/>
        <v>13445</v>
      </c>
      <c r="H60" s="61">
        <f t="shared" si="10"/>
        <v>9214</v>
      </c>
      <c r="I60" s="61">
        <f t="shared" si="10"/>
        <v>7720</v>
      </c>
      <c r="J60" s="61">
        <f t="shared" si="10"/>
        <v>10343</v>
      </c>
      <c r="K60" s="61">
        <f t="shared" si="10"/>
        <v>8983</v>
      </c>
      <c r="L60" s="61">
        <f t="shared" si="10"/>
        <v>10214</v>
      </c>
      <c r="M60" s="61">
        <f t="shared" si="10"/>
        <v>9691</v>
      </c>
      <c r="N60" s="61">
        <f>SUM(B60:M60)</f>
        <v>112594</v>
      </c>
    </row>
    <row r="61" spans="1:14" x14ac:dyDescent="0.4">
      <c r="A61" s="60" t="s">
        <v>205</v>
      </c>
      <c r="B61" s="61">
        <f>+B19+B28</f>
        <v>27177.5</v>
      </c>
      <c r="C61" s="61">
        <f t="shared" ref="C61:M61" si="11">+C19+C28</f>
        <v>25879</v>
      </c>
      <c r="D61" s="61">
        <f t="shared" si="11"/>
        <v>31776.5</v>
      </c>
      <c r="E61" s="61">
        <f t="shared" si="11"/>
        <v>35080.5</v>
      </c>
      <c r="F61" s="61">
        <f t="shared" si="11"/>
        <v>25742.5</v>
      </c>
      <c r="G61" s="61">
        <f t="shared" si="11"/>
        <v>36302</v>
      </c>
      <c r="H61" s="61">
        <f t="shared" si="11"/>
        <v>44306.5</v>
      </c>
      <c r="I61" s="61">
        <f t="shared" si="11"/>
        <v>41601</v>
      </c>
      <c r="J61" s="61">
        <f t="shared" si="11"/>
        <v>35465.5</v>
      </c>
      <c r="K61" s="61">
        <f t="shared" si="11"/>
        <v>33141.5</v>
      </c>
      <c r="L61" s="61">
        <f t="shared" si="11"/>
        <v>30579.5</v>
      </c>
      <c r="M61" s="61">
        <f t="shared" si="11"/>
        <v>29452.5</v>
      </c>
      <c r="N61" s="61">
        <f t="shared" ref="N61:N66" si="12">SUM(B61:M61)</f>
        <v>396504.5</v>
      </c>
    </row>
    <row r="62" spans="1:14" x14ac:dyDescent="0.4">
      <c r="A62" s="60" t="s">
        <v>206</v>
      </c>
      <c r="B62" s="61">
        <f>+B23+B29</f>
        <v>44</v>
      </c>
      <c r="C62" s="61">
        <f t="shared" ref="C62:M62" si="13">+C23+C29</f>
        <v>16</v>
      </c>
      <c r="D62" s="61">
        <f t="shared" si="13"/>
        <v>68</v>
      </c>
      <c r="E62" s="61">
        <f t="shared" si="13"/>
        <v>110</v>
      </c>
      <c r="F62" s="61">
        <f t="shared" si="13"/>
        <v>220</v>
      </c>
      <c r="G62" s="61">
        <f t="shared" si="13"/>
        <v>270</v>
      </c>
      <c r="H62" s="61">
        <f t="shared" si="13"/>
        <v>442</v>
      </c>
      <c r="I62" s="61">
        <f t="shared" si="13"/>
        <v>458</v>
      </c>
      <c r="J62" s="61">
        <f t="shared" si="13"/>
        <v>396</v>
      </c>
      <c r="K62" s="61">
        <f t="shared" si="13"/>
        <v>86</v>
      </c>
      <c r="L62" s="61">
        <f t="shared" si="13"/>
        <v>38</v>
      </c>
      <c r="M62" s="61">
        <f t="shared" si="13"/>
        <v>30</v>
      </c>
      <c r="N62" s="61">
        <f t="shared" si="12"/>
        <v>2178</v>
      </c>
    </row>
    <row r="63" spans="1:14" x14ac:dyDescent="0.4">
      <c r="A63" s="60" t="s">
        <v>207</v>
      </c>
      <c r="B63" s="61">
        <f>+B33+B34+B35+B36+B37+B38+B39+B40+B41</f>
        <v>7386</v>
      </c>
      <c r="C63" s="61">
        <f t="shared" ref="C63:M63" si="14">+C33+C34+C35+C36+C37+C38+C39+C40+C41</f>
        <v>6869</v>
      </c>
      <c r="D63" s="61">
        <f t="shared" si="14"/>
        <v>9349</v>
      </c>
      <c r="E63" s="61">
        <f t="shared" si="14"/>
        <v>10447</v>
      </c>
      <c r="F63" s="61">
        <f t="shared" si="14"/>
        <v>7617</v>
      </c>
      <c r="G63" s="61">
        <f t="shared" si="14"/>
        <v>10521</v>
      </c>
      <c r="H63" s="61">
        <f t="shared" si="14"/>
        <v>10985</v>
      </c>
      <c r="I63" s="61">
        <f t="shared" si="14"/>
        <v>12388</v>
      </c>
      <c r="J63" s="61">
        <f t="shared" si="14"/>
        <v>9385</v>
      </c>
      <c r="K63" s="61">
        <f t="shared" si="14"/>
        <v>9004</v>
      </c>
      <c r="L63" s="61">
        <f t="shared" si="14"/>
        <v>8429</v>
      </c>
      <c r="M63" s="61">
        <f t="shared" si="14"/>
        <v>5734</v>
      </c>
      <c r="N63" s="61">
        <f t="shared" si="12"/>
        <v>108114</v>
      </c>
    </row>
    <row r="64" spans="1:14" x14ac:dyDescent="0.4">
      <c r="A64" s="60" t="s">
        <v>208</v>
      </c>
      <c r="B64" s="61">
        <f>+B9+B13+B17+B31</f>
        <v>1862</v>
      </c>
      <c r="C64" s="61">
        <f t="shared" ref="C64:M64" si="15">+C9+C13+C17+C31</f>
        <v>2335</v>
      </c>
      <c r="D64" s="61">
        <f t="shared" si="15"/>
        <v>3067</v>
      </c>
      <c r="E64" s="61">
        <f t="shared" si="15"/>
        <v>3418</v>
      </c>
      <c r="F64" s="61">
        <f t="shared" si="15"/>
        <v>3362</v>
      </c>
      <c r="G64" s="61">
        <f t="shared" si="15"/>
        <v>3679</v>
      </c>
      <c r="H64" s="61">
        <f t="shared" si="15"/>
        <v>3010</v>
      </c>
      <c r="I64" s="61">
        <f t="shared" si="15"/>
        <v>3373</v>
      </c>
      <c r="J64" s="61">
        <f t="shared" si="15"/>
        <v>3917</v>
      </c>
      <c r="K64" s="61">
        <f t="shared" si="15"/>
        <v>2391</v>
      </c>
      <c r="L64" s="61">
        <f t="shared" si="15"/>
        <v>2176</v>
      </c>
      <c r="M64" s="61">
        <f t="shared" si="15"/>
        <v>2652</v>
      </c>
      <c r="N64" s="61">
        <f t="shared" si="12"/>
        <v>35242</v>
      </c>
    </row>
    <row r="65" spans="1:14" x14ac:dyDescent="0.4">
      <c r="A65" s="60" t="s">
        <v>209</v>
      </c>
      <c r="B65" s="61">
        <f>+B18+B20+B27</f>
        <v>5879</v>
      </c>
      <c r="C65" s="61">
        <f t="shared" ref="C65:M65" si="16">+C18+C20+C27</f>
        <v>6288</v>
      </c>
      <c r="D65" s="61">
        <f t="shared" si="16"/>
        <v>7243</v>
      </c>
      <c r="E65" s="61">
        <f t="shared" si="16"/>
        <v>8732</v>
      </c>
      <c r="F65" s="61">
        <f t="shared" si="16"/>
        <v>10882</v>
      </c>
      <c r="G65" s="61">
        <f t="shared" si="16"/>
        <v>10011</v>
      </c>
      <c r="H65" s="61">
        <f t="shared" si="16"/>
        <v>15622</v>
      </c>
      <c r="I65" s="61">
        <f t="shared" si="16"/>
        <v>16058</v>
      </c>
      <c r="J65" s="61">
        <f t="shared" si="16"/>
        <v>10768</v>
      </c>
      <c r="K65" s="61">
        <f t="shared" si="16"/>
        <v>7823</v>
      </c>
      <c r="L65" s="61">
        <f t="shared" si="16"/>
        <v>7806</v>
      </c>
      <c r="M65" s="61">
        <f t="shared" si="16"/>
        <v>7271</v>
      </c>
      <c r="N65" s="61">
        <f t="shared" si="12"/>
        <v>114383</v>
      </c>
    </row>
    <row r="66" spans="1:14" x14ac:dyDescent="0.4">
      <c r="A66" s="60" t="s">
        <v>210</v>
      </c>
      <c r="B66" s="61">
        <f>+B16+B30</f>
        <v>93</v>
      </c>
      <c r="C66" s="61">
        <f t="shared" ref="C66:M66" si="17">+C16+C30</f>
        <v>107</v>
      </c>
      <c r="D66" s="61">
        <f t="shared" si="17"/>
        <v>142</v>
      </c>
      <c r="E66" s="61">
        <f t="shared" si="17"/>
        <v>293</v>
      </c>
      <c r="F66" s="61">
        <f t="shared" si="17"/>
        <v>496</v>
      </c>
      <c r="G66" s="61">
        <f t="shared" si="17"/>
        <v>610</v>
      </c>
      <c r="H66" s="61">
        <f t="shared" si="17"/>
        <v>1245</v>
      </c>
      <c r="I66" s="61">
        <f t="shared" si="17"/>
        <v>1203</v>
      </c>
      <c r="J66" s="61">
        <f t="shared" si="17"/>
        <v>860</v>
      </c>
      <c r="K66" s="61">
        <f t="shared" si="17"/>
        <v>193</v>
      </c>
      <c r="L66" s="61">
        <f t="shared" si="17"/>
        <v>111</v>
      </c>
      <c r="M66" s="61">
        <f t="shared" si="17"/>
        <v>73</v>
      </c>
      <c r="N66" s="61">
        <f t="shared" si="12"/>
        <v>5426</v>
      </c>
    </row>
  </sheetData>
  <phoneticPr fontId="14" type="noConversion"/>
  <printOptions horizontalCentered="1" verticalCentered="1"/>
  <pageMargins left="0.25" right="0.25" top="0.25" bottom="0.25" header="0" footer="0"/>
  <pageSetup scale="6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1"/>
  <sheetViews>
    <sheetView zoomScale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5" defaultRowHeight="16.2" x14ac:dyDescent="0.4"/>
  <cols>
    <col min="1" max="1" width="27.4140625" style="4" bestFit="1" customWidth="1"/>
    <col min="2" max="2" width="9.9140625" style="4" bestFit="1" customWidth="1"/>
    <col min="3" max="3" width="9.33203125" style="4" customWidth="1"/>
    <col min="4" max="7" width="9.9140625" style="4" bestFit="1" customWidth="1"/>
    <col min="8" max="8" width="9.6640625" style="4" bestFit="1" customWidth="1"/>
    <col min="9" max="9" width="9.9140625" style="4" bestFit="1" customWidth="1"/>
    <col min="10" max="10" width="9.6640625" style="4" bestFit="1" customWidth="1"/>
    <col min="11" max="11" width="9.9140625" style="4" bestFit="1" customWidth="1"/>
    <col min="12" max="12" width="9.33203125" style="4" customWidth="1"/>
    <col min="13" max="13" width="9.9140625" style="4" bestFit="1" customWidth="1"/>
    <col min="14" max="14" width="10.75" style="4" bestFit="1" customWidth="1"/>
    <col min="15" max="15" width="5.9140625" style="4" bestFit="1" customWidth="1"/>
    <col min="16" max="16" width="10.25" style="4" bestFit="1" customWidth="1"/>
    <col min="17" max="16384" width="9.75" style="4"/>
  </cols>
  <sheetData>
    <row r="1" spans="1:16" ht="18.600000000000001" x14ac:dyDescent="0.45">
      <c r="A1" s="3" t="s">
        <v>139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s="45" customFormat="1" x14ac:dyDescent="0.4">
      <c r="A4" s="42" t="s">
        <v>107</v>
      </c>
      <c r="B4" s="43">
        <v>4020</v>
      </c>
      <c r="C4" s="43">
        <v>2412</v>
      </c>
      <c r="D4" s="43">
        <v>3551</v>
      </c>
      <c r="E4" s="43">
        <v>2546</v>
      </c>
      <c r="F4" s="43">
        <v>2211</v>
      </c>
      <c r="G4" s="43">
        <v>2747</v>
      </c>
      <c r="H4" s="43">
        <v>2412</v>
      </c>
      <c r="I4" s="43">
        <v>1273</v>
      </c>
      <c r="J4" s="43">
        <v>2010</v>
      </c>
      <c r="K4" s="43">
        <v>1876</v>
      </c>
      <c r="L4" s="43">
        <v>2010</v>
      </c>
      <c r="M4" s="43">
        <v>2144</v>
      </c>
      <c r="N4" s="43">
        <f t="shared" ref="N4:N43" si="0">SUM(B4:M4)</f>
        <v>29212</v>
      </c>
      <c r="O4" s="44">
        <f t="shared" ref="O4:O20" si="1">N4/$N$44</f>
        <v>3.7047131098423593E-2</v>
      </c>
      <c r="P4" s="43">
        <f>SUM(H4:M4)</f>
        <v>11725</v>
      </c>
    </row>
    <row r="5" spans="1:16" s="45" customFormat="1" x14ac:dyDescent="0.4">
      <c r="A5" s="42" t="s">
        <v>108</v>
      </c>
      <c r="B5" s="51"/>
      <c r="C5" s="51"/>
      <c r="D5" s="51"/>
      <c r="E5" s="51"/>
      <c r="F5" s="51"/>
      <c r="G5" s="51"/>
      <c r="H5" s="51"/>
      <c r="I5" s="51"/>
      <c r="J5" s="51">
        <v>76</v>
      </c>
      <c r="K5" s="51"/>
      <c r="L5" s="51"/>
      <c r="M5" s="51"/>
      <c r="N5" s="52">
        <f t="shared" si="0"/>
        <v>76</v>
      </c>
      <c r="O5" s="44">
        <f t="shared" si="1"/>
        <v>9.6384429805565979E-5</v>
      </c>
      <c r="P5" s="43">
        <f t="shared" ref="P5:P44" si="2">SUM(H5:M5)</f>
        <v>76</v>
      </c>
    </row>
    <row r="6" spans="1:16" s="45" customFormat="1" x14ac:dyDescent="0.4">
      <c r="A6" s="42" t="s">
        <v>109</v>
      </c>
      <c r="B6" s="52">
        <v>6930</v>
      </c>
      <c r="C6" s="52">
        <v>5922</v>
      </c>
      <c r="D6" s="52">
        <v>6048</v>
      </c>
      <c r="E6" s="52">
        <v>4032</v>
      </c>
      <c r="F6" s="52">
        <v>5670</v>
      </c>
      <c r="G6" s="52">
        <v>5166</v>
      </c>
      <c r="H6" s="52">
        <v>4284</v>
      </c>
      <c r="I6" s="52">
        <v>4032</v>
      </c>
      <c r="J6" s="52">
        <v>4158</v>
      </c>
      <c r="K6" s="52">
        <v>3528</v>
      </c>
      <c r="L6" s="52">
        <v>4032</v>
      </c>
      <c r="M6" s="52">
        <v>3654</v>
      </c>
      <c r="N6" s="52">
        <f t="shared" si="0"/>
        <v>57456</v>
      </c>
      <c r="O6" s="44">
        <f t="shared" si="1"/>
        <v>7.2866628933007882E-2</v>
      </c>
      <c r="P6" s="43">
        <f t="shared" si="2"/>
        <v>23688</v>
      </c>
    </row>
    <row r="7" spans="1:16" s="45" customFormat="1" x14ac:dyDescent="0.4">
      <c r="A7" s="42" t="s">
        <v>110</v>
      </c>
      <c r="B7" s="52"/>
      <c r="C7" s="52"/>
      <c r="D7" s="52"/>
      <c r="E7" s="52"/>
      <c r="F7" s="52"/>
      <c r="G7" s="52"/>
      <c r="H7" s="52">
        <v>72</v>
      </c>
      <c r="I7" s="52"/>
      <c r="J7" s="52"/>
      <c r="K7" s="52"/>
      <c r="L7" s="52"/>
      <c r="M7" s="52"/>
      <c r="N7" s="52">
        <f t="shared" si="0"/>
        <v>72</v>
      </c>
      <c r="O7" s="44">
        <f t="shared" si="1"/>
        <v>9.1311565078957239E-5</v>
      </c>
      <c r="P7" s="43">
        <f t="shared" si="2"/>
        <v>72</v>
      </c>
    </row>
    <row r="8" spans="1:16" s="45" customFormat="1" x14ac:dyDescent="0.4">
      <c r="A8" s="42" t="s">
        <v>132</v>
      </c>
      <c r="B8" s="52">
        <v>2499</v>
      </c>
      <c r="C8" s="52"/>
      <c r="D8" s="52">
        <v>1428</v>
      </c>
      <c r="E8" s="52">
        <v>1071</v>
      </c>
      <c r="F8" s="52">
        <v>714</v>
      </c>
      <c r="G8" s="52">
        <v>1785</v>
      </c>
      <c r="H8" s="52">
        <v>1071</v>
      </c>
      <c r="I8" s="52">
        <v>357</v>
      </c>
      <c r="J8" s="52">
        <v>3213</v>
      </c>
      <c r="K8" s="52">
        <v>1428</v>
      </c>
      <c r="L8" s="52">
        <v>357</v>
      </c>
      <c r="M8" s="52">
        <v>2499</v>
      </c>
      <c r="N8" s="52">
        <f t="shared" si="0"/>
        <v>16422</v>
      </c>
      <c r="O8" s="44">
        <f t="shared" si="1"/>
        <v>2.0826646135092164E-2</v>
      </c>
      <c r="P8" s="43">
        <f t="shared" si="2"/>
        <v>8925</v>
      </c>
    </row>
    <row r="9" spans="1:16" s="45" customFormat="1" x14ac:dyDescent="0.4">
      <c r="A9" s="42" t="s">
        <v>150</v>
      </c>
      <c r="B9" s="52">
        <v>408</v>
      </c>
      <c r="C9" s="52">
        <v>306</v>
      </c>
      <c r="D9" s="52">
        <v>714</v>
      </c>
      <c r="E9" s="52">
        <v>612</v>
      </c>
      <c r="F9" s="52">
        <v>306</v>
      </c>
      <c r="G9" s="52">
        <v>714</v>
      </c>
      <c r="H9" s="52">
        <v>612</v>
      </c>
      <c r="I9" s="52">
        <v>510</v>
      </c>
      <c r="J9" s="52">
        <v>408</v>
      </c>
      <c r="K9" s="52">
        <v>714</v>
      </c>
      <c r="L9" s="52">
        <v>408</v>
      </c>
      <c r="M9" s="52">
        <v>510</v>
      </c>
      <c r="N9" s="52">
        <f t="shared" si="0"/>
        <v>6222</v>
      </c>
      <c r="O9" s="44">
        <f t="shared" si="1"/>
        <v>7.8908410822398876E-3</v>
      </c>
      <c r="P9" s="43">
        <f t="shared" si="2"/>
        <v>3162</v>
      </c>
    </row>
    <row r="10" spans="1:16" s="45" customFormat="1" x14ac:dyDescent="0.4">
      <c r="A10" s="42" t="s">
        <v>144</v>
      </c>
      <c r="B10" s="52"/>
      <c r="C10" s="52"/>
      <c r="D10" s="52"/>
      <c r="E10" s="52"/>
      <c r="F10" s="52"/>
      <c r="G10" s="52">
        <v>204</v>
      </c>
      <c r="H10" s="52"/>
      <c r="I10" s="52"/>
      <c r="J10" s="52">
        <v>204</v>
      </c>
      <c r="K10" s="52"/>
      <c r="L10" s="52"/>
      <c r="M10" s="52"/>
      <c r="N10" s="52">
        <f t="shared" si="0"/>
        <v>408</v>
      </c>
      <c r="O10" s="44">
        <f>N10/$N$44</f>
        <v>5.1743220211409105E-4</v>
      </c>
      <c r="P10" s="43">
        <f t="shared" si="2"/>
        <v>204</v>
      </c>
    </row>
    <row r="11" spans="1:16" s="45" customFormat="1" x14ac:dyDescent="0.4">
      <c r="A11" s="42" t="s">
        <v>134</v>
      </c>
      <c r="B11" s="52">
        <v>630</v>
      </c>
      <c r="C11" s="52">
        <v>420</v>
      </c>
      <c r="D11" s="52">
        <v>840</v>
      </c>
      <c r="E11" s="52">
        <v>840</v>
      </c>
      <c r="F11" s="52">
        <v>420</v>
      </c>
      <c r="G11" s="52">
        <v>1050</v>
      </c>
      <c r="H11" s="52">
        <v>210</v>
      </c>
      <c r="I11" s="52">
        <v>210</v>
      </c>
      <c r="J11" s="52">
        <v>840</v>
      </c>
      <c r="K11" s="52">
        <v>630</v>
      </c>
      <c r="L11" s="52"/>
      <c r="M11" s="52">
        <v>1050</v>
      </c>
      <c r="N11" s="52">
        <f t="shared" si="0"/>
        <v>7140</v>
      </c>
      <c r="O11" s="44">
        <f t="shared" si="1"/>
        <v>9.0550635369965934E-3</v>
      </c>
      <c r="P11" s="43">
        <f t="shared" si="2"/>
        <v>2940</v>
      </c>
    </row>
    <row r="12" spans="1:16" s="45" customFormat="1" x14ac:dyDescent="0.4">
      <c r="A12" s="42" t="s">
        <v>135</v>
      </c>
      <c r="B12" s="52">
        <v>1344</v>
      </c>
      <c r="C12" s="52"/>
      <c r="D12" s="52">
        <v>672</v>
      </c>
      <c r="E12" s="52">
        <v>672</v>
      </c>
      <c r="F12" s="52"/>
      <c r="G12" s="52">
        <v>5376</v>
      </c>
      <c r="H12" s="52">
        <v>1596</v>
      </c>
      <c r="I12" s="52">
        <v>1344</v>
      </c>
      <c r="J12" s="52">
        <v>2016</v>
      </c>
      <c r="K12" s="52"/>
      <c r="L12" s="52">
        <v>672</v>
      </c>
      <c r="M12" s="52">
        <v>3360</v>
      </c>
      <c r="N12" s="52">
        <f t="shared" si="0"/>
        <v>17052</v>
      </c>
      <c r="O12" s="44">
        <f t="shared" si="1"/>
        <v>2.162562232953304E-2</v>
      </c>
      <c r="P12" s="43">
        <f t="shared" si="2"/>
        <v>8988</v>
      </c>
    </row>
    <row r="13" spans="1:16" s="45" customFormat="1" x14ac:dyDescent="0.4">
      <c r="A13" s="42" t="s">
        <v>136</v>
      </c>
      <c r="B13" s="52"/>
      <c r="C13" s="52">
        <v>576</v>
      </c>
      <c r="D13" s="52"/>
      <c r="E13" s="52"/>
      <c r="F13" s="52">
        <v>192</v>
      </c>
      <c r="G13" s="52"/>
      <c r="H13" s="52"/>
      <c r="I13" s="52">
        <v>576</v>
      </c>
      <c r="J13" s="52"/>
      <c r="K13" s="52">
        <v>576</v>
      </c>
      <c r="L13" s="52">
        <v>192</v>
      </c>
      <c r="M13" s="52">
        <v>1536</v>
      </c>
      <c r="N13" s="52">
        <f t="shared" si="0"/>
        <v>3648</v>
      </c>
      <c r="O13" s="44">
        <f t="shared" si="1"/>
        <v>4.6264526306671666E-3</v>
      </c>
      <c r="P13" s="43">
        <f t="shared" si="2"/>
        <v>2880</v>
      </c>
    </row>
    <row r="14" spans="1:16" s="45" customFormat="1" x14ac:dyDescent="0.4">
      <c r="A14" s="42" t="s">
        <v>137</v>
      </c>
      <c r="B14" s="52"/>
      <c r="C14" s="52"/>
      <c r="D14" s="52"/>
      <c r="E14" s="52">
        <v>840</v>
      </c>
      <c r="F14" s="52"/>
      <c r="G14" s="52">
        <v>1344</v>
      </c>
      <c r="H14" s="52">
        <v>420</v>
      </c>
      <c r="I14" s="52"/>
      <c r="J14" s="52"/>
      <c r="K14" s="52">
        <v>420</v>
      </c>
      <c r="L14" s="52">
        <v>420</v>
      </c>
      <c r="M14" s="52"/>
      <c r="N14" s="52">
        <f t="shared" si="0"/>
        <v>3444</v>
      </c>
      <c r="O14" s="44">
        <f t="shared" si="1"/>
        <v>4.3677365296101211E-3</v>
      </c>
      <c r="P14" s="43">
        <f t="shared" si="2"/>
        <v>1260</v>
      </c>
    </row>
    <row r="15" spans="1:16" s="45" customFormat="1" x14ac:dyDescent="0.4">
      <c r="A15" s="42" t="s">
        <v>145</v>
      </c>
      <c r="B15" s="52"/>
      <c r="C15" s="52"/>
      <c r="D15" s="52"/>
      <c r="E15" s="52"/>
      <c r="F15" s="52"/>
      <c r="G15" s="52">
        <v>384</v>
      </c>
      <c r="H15" s="52"/>
      <c r="I15" s="52"/>
      <c r="J15" s="52"/>
      <c r="K15" s="52"/>
      <c r="L15" s="52"/>
      <c r="M15" s="52">
        <v>384</v>
      </c>
      <c r="N15" s="52">
        <f t="shared" si="0"/>
        <v>768</v>
      </c>
      <c r="O15" s="44">
        <f>N15/$N$44</f>
        <v>9.7399002750887722E-4</v>
      </c>
      <c r="P15" s="43">
        <f t="shared" si="2"/>
        <v>384</v>
      </c>
    </row>
    <row r="16" spans="1:16" s="45" customFormat="1" x14ac:dyDescent="0.4">
      <c r="A16" s="42" t="s">
        <v>111</v>
      </c>
      <c r="B16" s="52">
        <v>4770</v>
      </c>
      <c r="C16" s="52">
        <v>2835</v>
      </c>
      <c r="D16" s="52">
        <v>2475</v>
      </c>
      <c r="E16" s="52">
        <v>1800</v>
      </c>
      <c r="F16" s="52">
        <v>2160</v>
      </c>
      <c r="G16" s="52">
        <v>2520</v>
      </c>
      <c r="H16" s="52">
        <v>2520</v>
      </c>
      <c r="I16" s="52">
        <v>2205</v>
      </c>
      <c r="J16" s="52">
        <v>1935</v>
      </c>
      <c r="K16" s="52">
        <v>1980</v>
      </c>
      <c r="L16" s="52">
        <v>1395</v>
      </c>
      <c r="M16" s="52">
        <v>1665</v>
      </c>
      <c r="N16" s="52">
        <f t="shared" si="0"/>
        <v>28260</v>
      </c>
      <c r="O16" s="44">
        <f t="shared" si="1"/>
        <v>3.5839789293490715E-2</v>
      </c>
      <c r="P16" s="43">
        <f t="shared" si="2"/>
        <v>11700</v>
      </c>
    </row>
    <row r="17" spans="1:16" s="45" customFormat="1" x14ac:dyDescent="0.4">
      <c r="A17" s="42" t="s">
        <v>4</v>
      </c>
      <c r="B17" s="52">
        <v>5034</v>
      </c>
      <c r="C17" s="52">
        <v>4876</v>
      </c>
      <c r="D17" s="52">
        <v>5376</v>
      </c>
      <c r="E17" s="52">
        <v>5678</v>
      </c>
      <c r="F17" s="52">
        <v>6956</v>
      </c>
      <c r="G17" s="52">
        <v>7652</v>
      </c>
      <c r="H17" s="52">
        <v>11792</v>
      </c>
      <c r="I17" s="52">
        <v>12492</v>
      </c>
      <c r="J17" s="52">
        <v>8336</v>
      </c>
      <c r="K17" s="52">
        <v>6782</v>
      </c>
      <c r="L17" s="52">
        <v>5716</v>
      </c>
      <c r="M17" s="52">
        <v>6442</v>
      </c>
      <c r="N17" s="52">
        <f t="shared" si="0"/>
        <v>87132</v>
      </c>
      <c r="O17" s="44">
        <f t="shared" si="1"/>
        <v>0.11050221233971809</v>
      </c>
      <c r="P17" s="43">
        <f t="shared" si="2"/>
        <v>51560</v>
      </c>
    </row>
    <row r="18" spans="1:16" s="45" customFormat="1" x14ac:dyDescent="0.4">
      <c r="A18" s="42" t="s">
        <v>146</v>
      </c>
      <c r="B18" s="52">
        <v>123</v>
      </c>
      <c r="C18" s="52">
        <v>180</v>
      </c>
      <c r="D18" s="52">
        <v>255</v>
      </c>
      <c r="E18" s="52">
        <v>243</v>
      </c>
      <c r="F18" s="52">
        <v>339</v>
      </c>
      <c r="G18" s="52">
        <v>492</v>
      </c>
      <c r="H18" s="52">
        <v>1053</v>
      </c>
      <c r="I18" s="52">
        <v>1101</v>
      </c>
      <c r="J18" s="52">
        <v>738</v>
      </c>
      <c r="K18" s="52">
        <v>261</v>
      </c>
      <c r="L18" s="52">
        <v>72</v>
      </c>
      <c r="M18" s="52">
        <v>60</v>
      </c>
      <c r="N18" s="52">
        <f t="shared" si="0"/>
        <v>4917</v>
      </c>
      <c r="O18" s="44">
        <f t="shared" si="1"/>
        <v>6.2358189651837885E-3</v>
      </c>
      <c r="P18" s="43">
        <f t="shared" si="2"/>
        <v>3285</v>
      </c>
    </row>
    <row r="19" spans="1:16" s="45" customFormat="1" x14ac:dyDescent="0.4">
      <c r="A19" s="42" t="s">
        <v>129</v>
      </c>
      <c r="B19" s="52">
        <v>16065</v>
      </c>
      <c r="C19" s="52">
        <v>17304</v>
      </c>
      <c r="D19" s="52">
        <v>19530</v>
      </c>
      <c r="E19" s="52">
        <v>21945</v>
      </c>
      <c r="F19" s="52">
        <v>26670</v>
      </c>
      <c r="G19" s="52">
        <v>26474</v>
      </c>
      <c r="H19" s="52">
        <v>33817</v>
      </c>
      <c r="I19" s="52">
        <v>35140</v>
      </c>
      <c r="J19" s="52">
        <v>29386</v>
      </c>
      <c r="K19" s="52">
        <v>25851</v>
      </c>
      <c r="L19" s="52">
        <v>23044</v>
      </c>
      <c r="M19" s="52">
        <v>26950</v>
      </c>
      <c r="N19" s="52">
        <f t="shared" si="0"/>
        <v>302176</v>
      </c>
      <c r="O19" s="44">
        <f t="shared" si="1"/>
        <v>0.38322449290693034</v>
      </c>
      <c r="P19" s="43">
        <f t="shared" si="2"/>
        <v>174188</v>
      </c>
    </row>
    <row r="20" spans="1:16" s="45" customFormat="1" x14ac:dyDescent="0.4">
      <c r="A20" s="42" t="s">
        <v>5</v>
      </c>
      <c r="B20" s="52">
        <v>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>
        <f t="shared" si="0"/>
        <v>4</v>
      </c>
      <c r="O20" s="44">
        <f t="shared" si="1"/>
        <v>5.0728647266087358E-6</v>
      </c>
      <c r="P20" s="43">
        <f t="shared" si="2"/>
        <v>0</v>
      </c>
    </row>
    <row r="21" spans="1:16" s="45" customFormat="1" x14ac:dyDescent="0.4">
      <c r="A21" s="42" t="s">
        <v>127</v>
      </c>
      <c r="B21" s="52"/>
      <c r="C21" s="52">
        <v>50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>
        <f t="shared" si="0"/>
        <v>50</v>
      </c>
      <c r="O21" s="44">
        <f>N21/$N$44</f>
        <v>6.3410809082609196E-5</v>
      </c>
      <c r="P21" s="43">
        <f t="shared" si="2"/>
        <v>0</v>
      </c>
    </row>
    <row r="22" spans="1:16" s="45" customFormat="1" x14ac:dyDescent="0.4">
      <c r="A22" s="42" t="s">
        <v>114</v>
      </c>
      <c r="B22" s="52">
        <v>330</v>
      </c>
      <c r="C22" s="52">
        <v>763</v>
      </c>
      <c r="D22" s="52">
        <v>262</v>
      </c>
      <c r="E22" s="52">
        <v>345</v>
      </c>
      <c r="F22" s="52">
        <v>465</v>
      </c>
      <c r="G22" s="52">
        <f>1510+7.5</f>
        <v>1517.5</v>
      </c>
      <c r="H22" s="52">
        <v>33</v>
      </c>
      <c r="I22" s="52">
        <v>15</v>
      </c>
      <c r="J22" s="52">
        <v>15</v>
      </c>
      <c r="K22" s="52">
        <v>33</v>
      </c>
      <c r="L22" s="52">
        <v>645</v>
      </c>
      <c r="M22" s="52">
        <v>430</v>
      </c>
      <c r="N22" s="52">
        <f t="shared" si="0"/>
        <v>4853.5</v>
      </c>
      <c r="O22" s="44">
        <f t="shared" ref="O22:O30" si="3">N22/$N$44</f>
        <v>6.1552872376488743E-3</v>
      </c>
      <c r="P22" s="43">
        <f t="shared" si="2"/>
        <v>1171</v>
      </c>
    </row>
    <row r="23" spans="1:16" s="45" customFormat="1" x14ac:dyDescent="0.4">
      <c r="A23" s="42" t="s">
        <v>115</v>
      </c>
      <c r="B23" s="52">
        <v>24</v>
      </c>
      <c r="C23" s="52">
        <v>24</v>
      </c>
      <c r="D23" s="52">
        <v>48</v>
      </c>
      <c r="E23" s="52">
        <v>108</v>
      </c>
      <c r="F23" s="52">
        <v>216</v>
      </c>
      <c r="G23" s="52">
        <v>272</v>
      </c>
      <c r="H23" s="52">
        <v>484</v>
      </c>
      <c r="I23" s="52">
        <v>412</v>
      </c>
      <c r="J23" s="52">
        <v>524</v>
      </c>
      <c r="K23" s="52">
        <v>208</v>
      </c>
      <c r="L23" s="52">
        <v>16</v>
      </c>
      <c r="M23" s="52">
        <v>40</v>
      </c>
      <c r="N23" s="52">
        <f t="shared" si="0"/>
        <v>2376</v>
      </c>
      <c r="O23" s="44">
        <f t="shared" si="3"/>
        <v>3.013281647605589E-3</v>
      </c>
      <c r="P23" s="43">
        <f t="shared" si="2"/>
        <v>1684</v>
      </c>
    </row>
    <row r="24" spans="1:16" s="45" customFormat="1" x14ac:dyDescent="0.4">
      <c r="A24" s="42" t="s">
        <v>147</v>
      </c>
      <c r="B24" s="52"/>
      <c r="C24" s="52"/>
      <c r="D24" s="52"/>
      <c r="E24" s="52"/>
      <c r="F24" s="52"/>
      <c r="G24" s="52"/>
      <c r="H24" s="52"/>
      <c r="I24" s="52">
        <v>7</v>
      </c>
      <c r="J24" s="52"/>
      <c r="K24" s="52"/>
      <c r="L24" s="52"/>
      <c r="M24" s="52"/>
      <c r="N24" s="52">
        <f t="shared" si="0"/>
        <v>7</v>
      </c>
      <c r="O24" s="44">
        <f>N24/$N$44</f>
        <v>8.8775132715652866E-6</v>
      </c>
      <c r="P24" s="43">
        <f t="shared" si="2"/>
        <v>7</v>
      </c>
    </row>
    <row r="25" spans="1:16" s="45" customFormat="1" x14ac:dyDescent="0.4">
      <c r="A25" s="42" t="s">
        <v>10</v>
      </c>
      <c r="B25" s="52">
        <v>115.5</v>
      </c>
      <c r="C25" s="52">
        <v>93.5</v>
      </c>
      <c r="D25" s="52">
        <v>126.5</v>
      </c>
      <c r="E25" s="52">
        <v>82.5</v>
      </c>
      <c r="F25" s="52">
        <v>115.5</v>
      </c>
      <c r="G25" s="52">
        <v>55</v>
      </c>
      <c r="H25" s="52"/>
      <c r="I25" s="52"/>
      <c r="J25" s="52">
        <v>104.5</v>
      </c>
      <c r="K25" s="52">
        <v>115.5</v>
      </c>
      <c r="L25" s="52">
        <v>115.5</v>
      </c>
      <c r="M25" s="52">
        <v>71.5</v>
      </c>
      <c r="N25" s="52">
        <f t="shared" si="0"/>
        <v>995.5</v>
      </c>
      <c r="O25" s="44">
        <f>N25/$N$44</f>
        <v>1.262509208834749E-3</v>
      </c>
      <c r="P25" s="43">
        <f t="shared" si="2"/>
        <v>407</v>
      </c>
    </row>
    <row r="26" spans="1:16" s="45" customFormat="1" x14ac:dyDescent="0.4">
      <c r="A26" s="42" t="s">
        <v>11</v>
      </c>
      <c r="B26" s="52">
        <v>7.5</v>
      </c>
      <c r="C26" s="52">
        <v>71.25</v>
      </c>
      <c r="D26" s="52">
        <v>56.25</v>
      </c>
      <c r="E26" s="52">
        <v>60</v>
      </c>
      <c r="F26" s="52">
        <v>11.25</v>
      </c>
      <c r="G26" s="52">
        <f>97.5+7.5</f>
        <v>105</v>
      </c>
      <c r="H26" s="52">
        <v>56.25</v>
      </c>
      <c r="I26" s="52">
        <v>123.75</v>
      </c>
      <c r="J26" s="52">
        <v>131.25</v>
      </c>
      <c r="K26" s="52">
        <v>90</v>
      </c>
      <c r="L26" s="52">
        <v>60</v>
      </c>
      <c r="M26" s="52">
        <v>52.5</v>
      </c>
      <c r="N26" s="52">
        <f t="shared" si="0"/>
        <v>825</v>
      </c>
      <c r="O26" s="44">
        <f t="shared" si="3"/>
        <v>1.0462783498630516E-3</v>
      </c>
      <c r="P26" s="43">
        <f t="shared" si="2"/>
        <v>513.75</v>
      </c>
    </row>
    <row r="27" spans="1:16" s="45" customFormat="1" x14ac:dyDescent="0.4">
      <c r="A27" s="42" t="s">
        <v>116</v>
      </c>
      <c r="B27" s="52">
        <v>848</v>
      </c>
      <c r="C27" s="52">
        <v>836</v>
      </c>
      <c r="D27" s="52">
        <v>1013</v>
      </c>
      <c r="E27" s="52">
        <v>1310</v>
      </c>
      <c r="F27" s="52">
        <v>1543</v>
      </c>
      <c r="G27" s="52">
        <v>1795</v>
      </c>
      <c r="H27" s="52">
        <v>3137</v>
      </c>
      <c r="I27" s="52">
        <v>3422</v>
      </c>
      <c r="J27" s="52">
        <v>1653</v>
      </c>
      <c r="K27" s="52">
        <v>1198</v>
      </c>
      <c r="L27" s="52">
        <v>1121</v>
      </c>
      <c r="M27" s="52">
        <v>1369</v>
      </c>
      <c r="N27" s="52">
        <f t="shared" si="0"/>
        <v>19245</v>
      </c>
      <c r="O27" s="44">
        <f t="shared" si="3"/>
        <v>2.4406820415896278E-2</v>
      </c>
      <c r="P27" s="43">
        <f t="shared" si="2"/>
        <v>11900</v>
      </c>
    </row>
    <row r="28" spans="1:16" s="45" customFormat="1" x14ac:dyDescent="0.4">
      <c r="A28" s="42" t="s">
        <v>130</v>
      </c>
      <c r="B28" s="52">
        <v>4630.5</v>
      </c>
      <c r="C28" s="52">
        <v>4494</v>
      </c>
      <c r="D28" s="52">
        <v>5302.5</v>
      </c>
      <c r="E28" s="52">
        <v>5848.5</v>
      </c>
      <c r="F28" s="52">
        <v>6786.5</v>
      </c>
      <c r="G28" s="52">
        <v>6730.5</v>
      </c>
      <c r="H28" s="52">
        <v>7343</v>
      </c>
      <c r="I28" s="52">
        <v>7927.5</v>
      </c>
      <c r="J28" s="52">
        <v>7024.5</v>
      </c>
      <c r="K28" s="52">
        <v>6629</v>
      </c>
      <c r="L28" s="52">
        <v>5446</v>
      </c>
      <c r="M28" s="52">
        <v>6093.5</v>
      </c>
      <c r="N28" s="52">
        <f t="shared" si="0"/>
        <v>74256</v>
      </c>
      <c r="O28" s="44">
        <f t="shared" si="3"/>
        <v>9.4172660784764564E-2</v>
      </c>
      <c r="P28" s="43">
        <f t="shared" si="2"/>
        <v>40463.5</v>
      </c>
    </row>
    <row r="29" spans="1:16" s="45" customFormat="1" x14ac:dyDescent="0.4">
      <c r="A29" s="42" t="s">
        <v>140</v>
      </c>
      <c r="B29" s="52">
        <v>16</v>
      </c>
      <c r="C29" s="52">
        <v>16</v>
      </c>
      <c r="D29" s="52">
        <v>20</v>
      </c>
      <c r="E29" s="52">
        <v>34</v>
      </c>
      <c r="F29" s="52">
        <v>66</v>
      </c>
      <c r="G29" s="52">
        <v>100</v>
      </c>
      <c r="H29" s="52">
        <v>132</v>
      </c>
      <c r="I29" s="52">
        <v>182</v>
      </c>
      <c r="J29" s="52">
        <v>136</v>
      </c>
      <c r="K29" s="52">
        <v>36</v>
      </c>
      <c r="L29" s="52">
        <v>8</v>
      </c>
      <c r="M29" s="52">
        <v>10</v>
      </c>
      <c r="N29" s="52">
        <f t="shared" si="0"/>
        <v>756</v>
      </c>
      <c r="O29" s="44">
        <f t="shared" si="3"/>
        <v>9.58771433329051E-4</v>
      </c>
      <c r="P29" s="43">
        <f t="shared" si="2"/>
        <v>504</v>
      </c>
    </row>
    <row r="30" spans="1:16" s="45" customFormat="1" x14ac:dyDescent="0.4">
      <c r="A30" s="42" t="s">
        <v>14</v>
      </c>
      <c r="B30" s="52">
        <v>460</v>
      </c>
      <c r="C30" s="52">
        <v>161</v>
      </c>
      <c r="D30" s="52">
        <v>92</v>
      </c>
      <c r="E30" s="52">
        <v>46</v>
      </c>
      <c r="F30" s="52">
        <v>230</v>
      </c>
      <c r="G30" s="52">
        <v>184</v>
      </c>
      <c r="H30" s="52">
        <v>345</v>
      </c>
      <c r="I30" s="52">
        <v>276</v>
      </c>
      <c r="J30" s="52">
        <v>23</v>
      </c>
      <c r="K30" s="52">
        <v>184</v>
      </c>
      <c r="L30" s="52">
        <v>46</v>
      </c>
      <c r="M30" s="52">
        <v>69</v>
      </c>
      <c r="N30" s="52">
        <f t="shared" si="0"/>
        <v>2116</v>
      </c>
      <c r="O30" s="44">
        <f t="shared" si="3"/>
        <v>2.6835454403760211E-3</v>
      </c>
      <c r="P30" s="43">
        <f t="shared" si="2"/>
        <v>943</v>
      </c>
    </row>
    <row r="31" spans="1:16" s="45" customFormat="1" x14ac:dyDescent="0.4">
      <c r="A31" s="42" t="s">
        <v>142</v>
      </c>
      <c r="B31" s="52"/>
      <c r="C31" s="52">
        <v>3.5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>
        <f t="shared" si="0"/>
        <v>3.5</v>
      </c>
      <c r="O31" s="44">
        <f>N31/$N$44</f>
        <v>4.4387566357826433E-6</v>
      </c>
      <c r="P31" s="43">
        <f t="shared" si="2"/>
        <v>0</v>
      </c>
    </row>
    <row r="32" spans="1:16" s="45" customFormat="1" x14ac:dyDescent="0.4">
      <c r="A32" s="42" t="s">
        <v>118</v>
      </c>
      <c r="B32" s="52">
        <v>1575</v>
      </c>
      <c r="C32" s="52">
        <v>1863</v>
      </c>
      <c r="D32" s="52">
        <v>2088</v>
      </c>
      <c r="E32" s="52">
        <v>2394</v>
      </c>
      <c r="F32" s="52">
        <v>3168</v>
      </c>
      <c r="G32" s="52">
        <v>2862</v>
      </c>
      <c r="H32" s="52">
        <v>3087</v>
      </c>
      <c r="I32" s="52">
        <v>3384</v>
      </c>
      <c r="J32" s="52">
        <v>3114</v>
      </c>
      <c r="K32" s="52">
        <v>3069</v>
      </c>
      <c r="L32" s="52">
        <v>2799</v>
      </c>
      <c r="M32" s="52">
        <v>2871</v>
      </c>
      <c r="N32" s="52">
        <f t="shared" si="0"/>
        <v>32274</v>
      </c>
      <c r="O32" s="44">
        <f t="shared" ref="O32:O41" si="4">N32/$N$44</f>
        <v>4.093040904664258E-2</v>
      </c>
      <c r="P32" s="43">
        <f t="shared" si="2"/>
        <v>18324</v>
      </c>
    </row>
    <row r="33" spans="1:16" s="45" customFormat="1" x14ac:dyDescent="0.4">
      <c r="A33" s="42" t="s">
        <v>119</v>
      </c>
      <c r="B33" s="52">
        <v>1568</v>
      </c>
      <c r="C33" s="52">
        <v>1190</v>
      </c>
      <c r="D33" s="52">
        <v>1134</v>
      </c>
      <c r="E33" s="52">
        <v>1778</v>
      </c>
      <c r="F33" s="52">
        <v>2338</v>
      </c>
      <c r="G33" s="52">
        <v>2184</v>
      </c>
      <c r="H33" s="52">
        <v>1316</v>
      </c>
      <c r="I33" s="52">
        <v>1638</v>
      </c>
      <c r="J33" s="52">
        <v>2002</v>
      </c>
      <c r="K33" s="52">
        <v>2912</v>
      </c>
      <c r="L33" s="52">
        <v>1260</v>
      </c>
      <c r="M33" s="52">
        <v>1764</v>
      </c>
      <c r="N33" s="52">
        <f t="shared" si="0"/>
        <v>21084</v>
      </c>
      <c r="O33" s="44">
        <f t="shared" si="4"/>
        <v>2.6739069973954643E-2</v>
      </c>
      <c r="P33" s="43">
        <f t="shared" si="2"/>
        <v>10892</v>
      </c>
    </row>
    <row r="34" spans="1:16" s="45" customFormat="1" x14ac:dyDescent="0.4">
      <c r="A34" s="42" t="s">
        <v>120</v>
      </c>
      <c r="B34" s="52">
        <v>608</v>
      </c>
      <c r="C34" s="52">
        <v>741</v>
      </c>
      <c r="D34" s="52">
        <v>817</v>
      </c>
      <c r="E34" s="52">
        <v>1102</v>
      </c>
      <c r="F34" s="52">
        <v>1311</v>
      </c>
      <c r="G34" s="52">
        <v>1311</v>
      </c>
      <c r="H34" s="52">
        <v>1235</v>
      </c>
      <c r="I34" s="52">
        <v>1615</v>
      </c>
      <c r="J34" s="52">
        <v>988</v>
      </c>
      <c r="K34" s="52">
        <v>1292</v>
      </c>
      <c r="L34" s="52">
        <v>855</v>
      </c>
      <c r="M34" s="52">
        <v>855</v>
      </c>
      <c r="N34" s="52">
        <f t="shared" si="0"/>
        <v>12730</v>
      </c>
      <c r="O34" s="44">
        <f t="shared" si="4"/>
        <v>1.6144391992432301E-2</v>
      </c>
      <c r="P34" s="43">
        <f t="shared" si="2"/>
        <v>6840</v>
      </c>
    </row>
    <row r="35" spans="1:16" s="45" customFormat="1" x14ac:dyDescent="0.4">
      <c r="A35" s="42" t="s">
        <v>121</v>
      </c>
      <c r="B35" s="52">
        <v>1225</v>
      </c>
      <c r="C35" s="52">
        <v>1000</v>
      </c>
      <c r="D35" s="52">
        <v>1275</v>
      </c>
      <c r="E35" s="52">
        <v>1375</v>
      </c>
      <c r="F35" s="52">
        <v>1900</v>
      </c>
      <c r="G35" s="52">
        <v>2150</v>
      </c>
      <c r="H35" s="52">
        <v>2700</v>
      </c>
      <c r="I35" s="52">
        <v>2125</v>
      </c>
      <c r="J35" s="52">
        <v>1925</v>
      </c>
      <c r="K35" s="52">
        <v>1500</v>
      </c>
      <c r="L35" s="52">
        <v>725</v>
      </c>
      <c r="M35" s="52">
        <v>1050</v>
      </c>
      <c r="N35" s="52">
        <f t="shared" si="0"/>
        <v>18950</v>
      </c>
      <c r="O35" s="44">
        <f t="shared" si="4"/>
        <v>2.4032696642308886E-2</v>
      </c>
      <c r="P35" s="43">
        <f t="shared" si="2"/>
        <v>10025</v>
      </c>
    </row>
    <row r="36" spans="1:16" s="45" customFormat="1" x14ac:dyDescent="0.4">
      <c r="A36" s="42" t="s">
        <v>122</v>
      </c>
      <c r="B36" s="52">
        <v>640</v>
      </c>
      <c r="C36" s="52">
        <v>608</v>
      </c>
      <c r="D36" s="52">
        <v>608</v>
      </c>
      <c r="E36" s="52">
        <v>640</v>
      </c>
      <c r="F36" s="52">
        <v>544</v>
      </c>
      <c r="G36" s="52">
        <v>1056</v>
      </c>
      <c r="H36" s="52">
        <v>1376</v>
      </c>
      <c r="I36" s="52">
        <v>1184</v>
      </c>
      <c r="J36" s="52">
        <v>736</v>
      </c>
      <c r="K36" s="52">
        <v>672</v>
      </c>
      <c r="L36" s="52">
        <v>480</v>
      </c>
      <c r="M36" s="52">
        <v>416</v>
      </c>
      <c r="N36" s="52">
        <f t="shared" si="0"/>
        <v>8960</v>
      </c>
      <c r="O36" s="44">
        <f t="shared" si="4"/>
        <v>1.1363216987603567E-2</v>
      </c>
      <c r="P36" s="43">
        <f t="shared" si="2"/>
        <v>4864</v>
      </c>
    </row>
    <row r="37" spans="1:16" s="45" customFormat="1" x14ac:dyDescent="0.4">
      <c r="A37" s="42" t="s">
        <v>123</v>
      </c>
      <c r="B37" s="52">
        <v>80</v>
      </c>
      <c r="C37" s="52">
        <v>400</v>
      </c>
      <c r="D37" s="52">
        <v>160</v>
      </c>
      <c r="E37" s="52">
        <v>240</v>
      </c>
      <c r="F37" s="52">
        <v>400</v>
      </c>
      <c r="G37" s="52">
        <v>600</v>
      </c>
      <c r="H37" s="52">
        <v>640</v>
      </c>
      <c r="I37" s="52">
        <v>600</v>
      </c>
      <c r="J37" s="52">
        <v>600</v>
      </c>
      <c r="K37" s="52">
        <v>280</v>
      </c>
      <c r="L37" s="52">
        <v>240</v>
      </c>
      <c r="M37" s="52">
        <v>480</v>
      </c>
      <c r="N37" s="52">
        <f t="shared" si="0"/>
        <v>4720</v>
      </c>
      <c r="O37" s="44">
        <f t="shared" si="4"/>
        <v>5.985980377398308E-3</v>
      </c>
      <c r="P37" s="43">
        <f t="shared" si="2"/>
        <v>2840</v>
      </c>
    </row>
    <row r="38" spans="1:16" s="45" customFormat="1" x14ac:dyDescent="0.4">
      <c r="A38" s="42" t="s">
        <v>124</v>
      </c>
      <c r="B38" s="52">
        <v>245</v>
      </c>
      <c r="C38" s="52">
        <v>147</v>
      </c>
      <c r="D38" s="52">
        <v>49</v>
      </c>
      <c r="E38" s="52">
        <v>343</v>
      </c>
      <c r="F38" s="52">
        <v>343</v>
      </c>
      <c r="G38" s="52">
        <v>147</v>
      </c>
      <c r="H38" s="52">
        <v>245</v>
      </c>
      <c r="I38" s="52">
        <v>343</v>
      </c>
      <c r="J38" s="52">
        <v>294</v>
      </c>
      <c r="K38" s="52">
        <v>441</v>
      </c>
      <c r="L38" s="52">
        <v>294</v>
      </c>
      <c r="M38" s="52">
        <v>196</v>
      </c>
      <c r="N38" s="52">
        <f t="shared" si="0"/>
        <v>3087</v>
      </c>
      <c r="O38" s="44">
        <f t="shared" si="4"/>
        <v>3.9149833527602918E-3</v>
      </c>
      <c r="P38" s="43">
        <f t="shared" si="2"/>
        <v>1813</v>
      </c>
    </row>
    <row r="39" spans="1:16" s="45" customFormat="1" x14ac:dyDescent="0.4">
      <c r="A39" s="42" t="s">
        <v>125</v>
      </c>
      <c r="B39" s="52">
        <v>174</v>
      </c>
      <c r="C39" s="52">
        <v>116</v>
      </c>
      <c r="D39" s="52">
        <v>58</v>
      </c>
      <c r="E39" s="52">
        <v>116</v>
      </c>
      <c r="F39" s="52">
        <v>348</v>
      </c>
      <c r="G39" s="52">
        <v>116</v>
      </c>
      <c r="H39" s="52">
        <v>116</v>
      </c>
      <c r="I39" s="52">
        <v>348</v>
      </c>
      <c r="J39" s="52">
        <v>232</v>
      </c>
      <c r="K39" s="52">
        <v>116</v>
      </c>
      <c r="L39" s="52">
        <v>116</v>
      </c>
      <c r="M39" s="52">
        <v>58</v>
      </c>
      <c r="N39" s="52">
        <f t="shared" si="0"/>
        <v>1914</v>
      </c>
      <c r="O39" s="44">
        <f t="shared" si="4"/>
        <v>2.42736577168228E-3</v>
      </c>
      <c r="P39" s="43">
        <f t="shared" si="2"/>
        <v>986</v>
      </c>
    </row>
    <row r="40" spans="1:16" s="45" customFormat="1" x14ac:dyDescent="0.4">
      <c r="A40" s="42" t="s">
        <v>126</v>
      </c>
      <c r="B40" s="52">
        <v>483</v>
      </c>
      <c r="C40" s="52">
        <v>897</v>
      </c>
      <c r="D40" s="52">
        <v>1173</v>
      </c>
      <c r="E40" s="52">
        <v>1104</v>
      </c>
      <c r="F40" s="52">
        <v>207</v>
      </c>
      <c r="G40" s="52">
        <v>966</v>
      </c>
      <c r="H40" s="52">
        <v>552</v>
      </c>
      <c r="I40" s="52">
        <v>1035</v>
      </c>
      <c r="J40" s="52">
        <v>897</v>
      </c>
      <c r="K40" s="52">
        <v>1035</v>
      </c>
      <c r="L40" s="52">
        <v>1311</v>
      </c>
      <c r="M40" s="52">
        <v>1104</v>
      </c>
      <c r="N40" s="52">
        <f t="shared" si="0"/>
        <v>10764</v>
      </c>
      <c r="O40" s="44">
        <f t="shared" si="4"/>
        <v>1.3651078979304107E-2</v>
      </c>
      <c r="P40" s="43">
        <f t="shared" si="2"/>
        <v>5934</v>
      </c>
    </row>
    <row r="41" spans="1:16" s="45" customFormat="1" x14ac:dyDescent="0.4">
      <c r="A41" s="42" t="s">
        <v>10</v>
      </c>
      <c r="B41" s="52">
        <v>12.6</v>
      </c>
      <c r="C41" s="52">
        <v>10.199999999999999</v>
      </c>
      <c r="D41" s="52">
        <v>13.8</v>
      </c>
      <c r="E41" s="52">
        <v>9</v>
      </c>
      <c r="F41" s="52">
        <v>12.6</v>
      </c>
      <c r="G41" s="52">
        <v>6</v>
      </c>
      <c r="H41" s="52"/>
      <c r="I41" s="52"/>
      <c r="J41" s="52">
        <v>11.4</v>
      </c>
      <c r="K41" s="52">
        <v>12.6</v>
      </c>
      <c r="L41" s="52">
        <v>12.6</v>
      </c>
      <c r="M41" s="52">
        <v>7.8</v>
      </c>
      <c r="N41" s="52">
        <f t="shared" si="0"/>
        <v>108.59999999999998</v>
      </c>
      <c r="O41" s="44">
        <f t="shared" si="4"/>
        <v>1.3772827732742716E-4</v>
      </c>
      <c r="P41" s="43">
        <f t="shared" si="2"/>
        <v>44.4</v>
      </c>
    </row>
    <row r="42" spans="1:16" s="45" customFormat="1" x14ac:dyDescent="0.4">
      <c r="A42" s="42" t="s">
        <v>141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44">
        <f>N42/$N$44</f>
        <v>0</v>
      </c>
      <c r="P42" s="43">
        <f t="shared" si="2"/>
        <v>0</v>
      </c>
    </row>
    <row r="43" spans="1:16" s="45" customFormat="1" x14ac:dyDescent="0.4">
      <c r="A43" s="42" t="s">
        <v>138</v>
      </c>
      <c r="B43" s="52">
        <f>49*25</f>
        <v>1225</v>
      </c>
      <c r="C43" s="52">
        <v>325</v>
      </c>
      <c r="D43" s="52">
        <v>250</v>
      </c>
      <c r="E43" s="52">
        <v>225</v>
      </c>
      <c r="F43" s="52">
        <v>225</v>
      </c>
      <c r="G43" s="52">
        <v>100</v>
      </c>
      <c r="H43" s="52">
        <v>125</v>
      </c>
      <c r="I43" s="52">
        <v>75</v>
      </c>
      <c r="J43" s="52">
        <v>50</v>
      </c>
      <c r="K43" s="52">
        <v>25</v>
      </c>
      <c r="L43" s="52">
        <v>50</v>
      </c>
      <c r="M43" s="52">
        <v>1350</v>
      </c>
      <c r="N43" s="52">
        <f t="shared" si="0"/>
        <v>4025</v>
      </c>
      <c r="O43" s="44">
        <f>N43/$N$44</f>
        <v>5.1045701311500397E-3</v>
      </c>
      <c r="P43" s="43">
        <f t="shared" si="2"/>
        <v>1675</v>
      </c>
    </row>
    <row r="44" spans="1:16" ht="21" customHeight="1" x14ac:dyDescent="0.4">
      <c r="A44" s="5" t="s">
        <v>25</v>
      </c>
      <c r="B44" s="39">
        <f t="shared" ref="B44:O44" si="5">SUM(B4:B43)</f>
        <v>56094.1</v>
      </c>
      <c r="C44" s="39">
        <f t="shared" si="5"/>
        <v>48640.45</v>
      </c>
      <c r="D44" s="39">
        <f t="shared" si="5"/>
        <v>55435.05</v>
      </c>
      <c r="E44" s="39">
        <f t="shared" si="5"/>
        <v>57439</v>
      </c>
      <c r="F44" s="39">
        <f t="shared" si="5"/>
        <v>65867.850000000006</v>
      </c>
      <c r="G44" s="39">
        <f t="shared" si="5"/>
        <v>78165</v>
      </c>
      <c r="H44" s="39">
        <f t="shared" si="5"/>
        <v>82781.25</v>
      </c>
      <c r="I44" s="39">
        <f t="shared" si="5"/>
        <v>83952.25</v>
      </c>
      <c r="J44" s="39">
        <f t="shared" si="5"/>
        <v>73780.649999999994</v>
      </c>
      <c r="K44" s="39">
        <f t="shared" si="5"/>
        <v>63894.1</v>
      </c>
      <c r="L44" s="39">
        <f t="shared" si="5"/>
        <v>53918.1</v>
      </c>
      <c r="M44" s="39">
        <f t="shared" si="5"/>
        <v>68541.3</v>
      </c>
      <c r="N44" s="39">
        <f t="shared" si="5"/>
        <v>788509.1</v>
      </c>
      <c r="O44" s="40">
        <f t="shared" si="5"/>
        <v>0.99999999999999989</v>
      </c>
      <c r="P44" s="9">
        <f t="shared" si="2"/>
        <v>426867.64999999997</v>
      </c>
    </row>
    <row r="45" spans="1:16" x14ac:dyDescent="0.4">
      <c r="A45" s="12"/>
    </row>
    <row r="48" spans="1:16" ht="16.8" x14ac:dyDescent="0.4">
      <c r="A48" t="s">
        <v>148</v>
      </c>
      <c r="B48" s="39">
        <f t="shared" ref="B48:M48" si="6">+B4+B5+B6+B7+B8+B11+B12+B14+B19+B21+B23+B28+B32+B33+B34+B35+B36+B37+B38+B39+B40+B10+B15+B24+B22+B25+B26+B31+B41</f>
        <v>43206.1</v>
      </c>
      <c r="C48" s="39">
        <f t="shared" si="6"/>
        <v>38529.449999999997</v>
      </c>
      <c r="D48" s="39">
        <f t="shared" si="6"/>
        <v>45240.05</v>
      </c>
      <c r="E48" s="39">
        <f t="shared" si="6"/>
        <v>47491</v>
      </c>
      <c r="F48" s="39">
        <f t="shared" si="6"/>
        <v>53850.85</v>
      </c>
      <c r="G48" s="39">
        <f t="shared" si="6"/>
        <v>64608</v>
      </c>
      <c r="H48" s="39">
        <f t="shared" si="6"/>
        <v>63065.25</v>
      </c>
      <c r="I48" s="39">
        <f t="shared" si="6"/>
        <v>63113.25</v>
      </c>
      <c r="J48" s="39">
        <f t="shared" si="6"/>
        <v>60501.65</v>
      </c>
      <c r="K48" s="39">
        <f t="shared" si="6"/>
        <v>52138.1</v>
      </c>
      <c r="L48" s="39">
        <f t="shared" si="6"/>
        <v>44910.1</v>
      </c>
      <c r="M48" s="39">
        <f t="shared" si="6"/>
        <v>55530.3</v>
      </c>
      <c r="N48" s="39">
        <f>+N4+N5+N6+N7+N8+N11+N12+N14+N19+N21+N23+N28+N32+N33+N34+N35+N36+N37+N38+N39+N40+N10+N15+N24+N22+N25+N26+N31+N41</f>
        <v>632184.1</v>
      </c>
    </row>
    <row r="49" spans="1:14" s="50" customFormat="1" ht="16.8" x14ac:dyDescent="0.4">
      <c r="A49" s="53" t="s">
        <v>149</v>
      </c>
      <c r="B49" s="50">
        <f t="shared" ref="B49:M49" si="7">+B9+B13+B16+B17+B20+B27+B29+B18+B30+B43</f>
        <v>12888</v>
      </c>
      <c r="C49" s="50">
        <f t="shared" si="7"/>
        <v>10111</v>
      </c>
      <c r="D49" s="50">
        <f t="shared" si="7"/>
        <v>10195</v>
      </c>
      <c r="E49" s="50">
        <f t="shared" si="7"/>
        <v>9948</v>
      </c>
      <c r="F49" s="50">
        <f t="shared" si="7"/>
        <v>12017</v>
      </c>
      <c r="G49" s="50">
        <f t="shared" si="7"/>
        <v>13557</v>
      </c>
      <c r="H49" s="50">
        <f t="shared" si="7"/>
        <v>19716</v>
      </c>
      <c r="I49" s="50">
        <f t="shared" si="7"/>
        <v>20839</v>
      </c>
      <c r="J49" s="50">
        <f t="shared" si="7"/>
        <v>13279</v>
      </c>
      <c r="K49" s="50">
        <f t="shared" si="7"/>
        <v>11756</v>
      </c>
      <c r="L49" s="50">
        <f t="shared" si="7"/>
        <v>9008</v>
      </c>
      <c r="M49" s="50">
        <f t="shared" si="7"/>
        <v>13011</v>
      </c>
      <c r="N49" s="50">
        <f>+N9+N13+N16+N17+N20+N27+N29+N18+N30+N43</f>
        <v>156325</v>
      </c>
    </row>
    <row r="50" spans="1:14" s="48" customFormat="1" ht="17.399999999999999" thickBot="1" x14ac:dyDescent="0.45">
      <c r="A50" s="46" t="s">
        <v>143</v>
      </c>
      <c r="B50" s="47">
        <f t="shared" ref="B50:M50" si="8">SUM(B48:B49)</f>
        <v>56094.1</v>
      </c>
      <c r="C50" s="47">
        <f t="shared" si="8"/>
        <v>48640.45</v>
      </c>
      <c r="D50" s="47">
        <f t="shared" si="8"/>
        <v>55435.05</v>
      </c>
      <c r="E50" s="47">
        <f t="shared" si="8"/>
        <v>57439</v>
      </c>
      <c r="F50" s="47">
        <f t="shared" si="8"/>
        <v>65867.850000000006</v>
      </c>
      <c r="G50" s="47">
        <f t="shared" si="8"/>
        <v>78165</v>
      </c>
      <c r="H50" s="47">
        <f t="shared" si="8"/>
        <v>82781.25</v>
      </c>
      <c r="I50" s="47">
        <f t="shared" si="8"/>
        <v>83952.25</v>
      </c>
      <c r="J50" s="47">
        <f t="shared" si="8"/>
        <v>73780.649999999994</v>
      </c>
      <c r="K50" s="47">
        <f t="shared" si="8"/>
        <v>63894.1</v>
      </c>
      <c r="L50" s="47">
        <f t="shared" si="8"/>
        <v>53918.1</v>
      </c>
      <c r="M50" s="47">
        <f t="shared" si="8"/>
        <v>68541.3</v>
      </c>
      <c r="N50" s="47">
        <f>SUM(N48:N49)</f>
        <v>788509.1</v>
      </c>
    </row>
    <row r="51" spans="1:14" ht="16.8" thickTop="1" x14ac:dyDescent="0.4"/>
    <row r="52" spans="1:14" x14ac:dyDescent="0.4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5" spans="1:14" x14ac:dyDescent="0.4">
      <c r="A55" s="60" t="s">
        <v>204</v>
      </c>
      <c r="B55" s="61">
        <f>+B4+B5+B6+B7+B8+B10+B11+B12+B14+B15</f>
        <v>15423</v>
      </c>
      <c r="C55" s="61">
        <f t="shared" ref="C55:M55" si="9">+C4+C5+C6+C7+C8+C10+C11+C12+C14+C15</f>
        <v>8754</v>
      </c>
      <c r="D55" s="61">
        <f t="shared" si="9"/>
        <v>12539</v>
      </c>
      <c r="E55" s="61">
        <f t="shared" si="9"/>
        <v>10001</v>
      </c>
      <c r="F55" s="61">
        <f t="shared" si="9"/>
        <v>9015</v>
      </c>
      <c r="G55" s="61">
        <f t="shared" si="9"/>
        <v>18056</v>
      </c>
      <c r="H55" s="61">
        <f t="shared" si="9"/>
        <v>10065</v>
      </c>
      <c r="I55" s="61">
        <f t="shared" si="9"/>
        <v>7216</v>
      </c>
      <c r="J55" s="61">
        <f t="shared" si="9"/>
        <v>12517</v>
      </c>
      <c r="K55" s="61">
        <f t="shared" si="9"/>
        <v>7882</v>
      </c>
      <c r="L55" s="61">
        <f t="shared" si="9"/>
        <v>7491</v>
      </c>
      <c r="M55" s="61">
        <f t="shared" si="9"/>
        <v>13091</v>
      </c>
      <c r="N55" s="61">
        <f>SUM(B55:M55)</f>
        <v>132050</v>
      </c>
    </row>
    <row r="56" spans="1:14" x14ac:dyDescent="0.4">
      <c r="A56" s="60" t="s">
        <v>205</v>
      </c>
      <c r="B56" s="61">
        <f>+B19+B28</f>
        <v>20695.5</v>
      </c>
      <c r="C56" s="61">
        <f t="shared" ref="C56:M56" si="10">+C19+C28</f>
        <v>21798</v>
      </c>
      <c r="D56" s="61">
        <f t="shared" si="10"/>
        <v>24832.5</v>
      </c>
      <c r="E56" s="61">
        <f t="shared" si="10"/>
        <v>27793.5</v>
      </c>
      <c r="F56" s="61">
        <f t="shared" si="10"/>
        <v>33456.5</v>
      </c>
      <c r="G56" s="61">
        <f t="shared" si="10"/>
        <v>33204.5</v>
      </c>
      <c r="H56" s="61">
        <f t="shared" si="10"/>
        <v>41160</v>
      </c>
      <c r="I56" s="61">
        <f t="shared" si="10"/>
        <v>43067.5</v>
      </c>
      <c r="J56" s="61">
        <f t="shared" si="10"/>
        <v>36410.5</v>
      </c>
      <c r="K56" s="61">
        <f t="shared" si="10"/>
        <v>32480</v>
      </c>
      <c r="L56" s="61">
        <f t="shared" si="10"/>
        <v>28490</v>
      </c>
      <c r="M56" s="61">
        <f t="shared" si="10"/>
        <v>33043.5</v>
      </c>
      <c r="N56" s="61">
        <f t="shared" ref="N56:N61" si="11">SUM(B56:M56)</f>
        <v>376432</v>
      </c>
    </row>
    <row r="57" spans="1:14" x14ac:dyDescent="0.4">
      <c r="A57" s="60" t="s">
        <v>206</v>
      </c>
      <c r="B57" s="61">
        <f>+B23</f>
        <v>24</v>
      </c>
      <c r="C57" s="61">
        <f t="shared" ref="C57:M57" si="12">+C23</f>
        <v>24</v>
      </c>
      <c r="D57" s="61">
        <f t="shared" si="12"/>
        <v>48</v>
      </c>
      <c r="E57" s="61">
        <f t="shared" si="12"/>
        <v>108</v>
      </c>
      <c r="F57" s="61">
        <f t="shared" si="12"/>
        <v>216</v>
      </c>
      <c r="G57" s="61">
        <f t="shared" si="12"/>
        <v>272</v>
      </c>
      <c r="H57" s="61">
        <f t="shared" si="12"/>
        <v>484</v>
      </c>
      <c r="I57" s="61">
        <f t="shared" si="12"/>
        <v>412</v>
      </c>
      <c r="J57" s="61">
        <f t="shared" si="12"/>
        <v>524</v>
      </c>
      <c r="K57" s="61">
        <f t="shared" si="12"/>
        <v>208</v>
      </c>
      <c r="L57" s="61">
        <f t="shared" si="12"/>
        <v>16</v>
      </c>
      <c r="M57" s="61">
        <f t="shared" si="12"/>
        <v>40</v>
      </c>
      <c r="N57" s="61">
        <f t="shared" si="11"/>
        <v>2376</v>
      </c>
    </row>
    <row r="58" spans="1:14" x14ac:dyDescent="0.4">
      <c r="A58" s="60" t="s">
        <v>207</v>
      </c>
      <c r="B58" s="61">
        <f>+B32+B33+B34+B35+B36+B37+B38+B39+B40</f>
        <v>6598</v>
      </c>
      <c r="C58" s="61">
        <f t="shared" ref="C58:M58" si="13">+C32+C33+C34+C35+C36+C37+C38+C39+C40</f>
        <v>6962</v>
      </c>
      <c r="D58" s="61">
        <f t="shared" si="13"/>
        <v>7362</v>
      </c>
      <c r="E58" s="61">
        <f t="shared" si="13"/>
        <v>9092</v>
      </c>
      <c r="F58" s="61">
        <f t="shared" si="13"/>
        <v>10559</v>
      </c>
      <c r="G58" s="61">
        <f t="shared" si="13"/>
        <v>11392</v>
      </c>
      <c r="H58" s="61">
        <f t="shared" si="13"/>
        <v>11267</v>
      </c>
      <c r="I58" s="61">
        <f t="shared" si="13"/>
        <v>12272</v>
      </c>
      <c r="J58" s="61">
        <f t="shared" si="13"/>
        <v>10788</v>
      </c>
      <c r="K58" s="61">
        <f t="shared" si="13"/>
        <v>11317</v>
      </c>
      <c r="L58" s="61">
        <f t="shared" si="13"/>
        <v>8080</v>
      </c>
      <c r="M58" s="61">
        <f t="shared" si="13"/>
        <v>8794</v>
      </c>
      <c r="N58" s="61">
        <f t="shared" si="11"/>
        <v>114483</v>
      </c>
    </row>
    <row r="59" spans="1:14" x14ac:dyDescent="0.4">
      <c r="A59" s="60" t="s">
        <v>208</v>
      </c>
      <c r="B59" s="61">
        <f>+B9+B13+B16+B30</f>
        <v>5638</v>
      </c>
      <c r="C59" s="61">
        <f t="shared" ref="C59:M59" si="14">+C9+C13+C16+C30</f>
        <v>3878</v>
      </c>
      <c r="D59" s="61">
        <f t="shared" si="14"/>
        <v>3281</v>
      </c>
      <c r="E59" s="61">
        <f t="shared" si="14"/>
        <v>2458</v>
      </c>
      <c r="F59" s="61">
        <f t="shared" si="14"/>
        <v>2888</v>
      </c>
      <c r="G59" s="61">
        <f t="shared" si="14"/>
        <v>3418</v>
      </c>
      <c r="H59" s="61">
        <f t="shared" si="14"/>
        <v>3477</v>
      </c>
      <c r="I59" s="61">
        <f t="shared" si="14"/>
        <v>3567</v>
      </c>
      <c r="J59" s="61">
        <f t="shared" si="14"/>
        <v>2366</v>
      </c>
      <c r="K59" s="61">
        <f t="shared" si="14"/>
        <v>3454</v>
      </c>
      <c r="L59" s="61">
        <f t="shared" si="14"/>
        <v>2041</v>
      </c>
      <c r="M59" s="61">
        <f t="shared" si="14"/>
        <v>3780</v>
      </c>
      <c r="N59" s="61">
        <f t="shared" si="11"/>
        <v>40246</v>
      </c>
    </row>
    <row r="60" spans="1:14" x14ac:dyDescent="0.4">
      <c r="A60" s="60" t="s">
        <v>209</v>
      </c>
      <c r="B60" s="61">
        <f>+B17+B20+B27</f>
        <v>5886</v>
      </c>
      <c r="C60" s="61">
        <f t="shared" ref="C60:M60" si="15">+C17+C20+C27</f>
        <v>5712</v>
      </c>
      <c r="D60" s="61">
        <f t="shared" si="15"/>
        <v>6389</v>
      </c>
      <c r="E60" s="61">
        <f t="shared" si="15"/>
        <v>6988</v>
      </c>
      <c r="F60" s="61">
        <f t="shared" si="15"/>
        <v>8499</v>
      </c>
      <c r="G60" s="61">
        <f t="shared" si="15"/>
        <v>9447</v>
      </c>
      <c r="H60" s="61">
        <f t="shared" si="15"/>
        <v>14929</v>
      </c>
      <c r="I60" s="61">
        <f t="shared" si="15"/>
        <v>15914</v>
      </c>
      <c r="J60" s="61">
        <f t="shared" si="15"/>
        <v>9989</v>
      </c>
      <c r="K60" s="61">
        <f t="shared" si="15"/>
        <v>7980</v>
      </c>
      <c r="L60" s="61">
        <f t="shared" si="15"/>
        <v>6837</v>
      </c>
      <c r="M60" s="61">
        <f t="shared" si="15"/>
        <v>7811</v>
      </c>
      <c r="N60" s="61">
        <f t="shared" si="11"/>
        <v>106381</v>
      </c>
    </row>
    <row r="61" spans="1:14" x14ac:dyDescent="0.4">
      <c r="A61" s="60" t="s">
        <v>210</v>
      </c>
      <c r="B61" s="61">
        <f>+B18+B29</f>
        <v>139</v>
      </c>
      <c r="C61" s="61">
        <f t="shared" ref="C61:M61" si="16">+C18+C29</f>
        <v>196</v>
      </c>
      <c r="D61" s="61">
        <f t="shared" si="16"/>
        <v>275</v>
      </c>
      <c r="E61" s="61">
        <f t="shared" si="16"/>
        <v>277</v>
      </c>
      <c r="F61" s="61">
        <f t="shared" si="16"/>
        <v>405</v>
      </c>
      <c r="G61" s="61">
        <f t="shared" si="16"/>
        <v>592</v>
      </c>
      <c r="H61" s="61">
        <f t="shared" si="16"/>
        <v>1185</v>
      </c>
      <c r="I61" s="61">
        <f t="shared" si="16"/>
        <v>1283</v>
      </c>
      <c r="J61" s="61">
        <f t="shared" si="16"/>
        <v>874</v>
      </c>
      <c r="K61" s="61">
        <f t="shared" si="16"/>
        <v>297</v>
      </c>
      <c r="L61" s="61">
        <f t="shared" si="16"/>
        <v>80</v>
      </c>
      <c r="M61" s="61">
        <f t="shared" si="16"/>
        <v>70</v>
      </c>
      <c r="N61" s="61">
        <f t="shared" si="11"/>
        <v>5673</v>
      </c>
    </row>
  </sheetData>
  <phoneticPr fontId="14" type="noConversion"/>
  <printOptions horizontalCentered="1" verticalCentered="1"/>
  <pageMargins left="0.25" right="0.25" top="0.25" bottom="0.25" header="0" footer="0"/>
  <pageSetup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56"/>
  <sheetViews>
    <sheetView zoomScale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5" defaultRowHeight="16.2" x14ac:dyDescent="0.4"/>
  <cols>
    <col min="1" max="1" width="24.08203125" style="4" bestFit="1" customWidth="1"/>
    <col min="2" max="2" width="9.4140625" style="4" bestFit="1" customWidth="1"/>
    <col min="3" max="3" width="9.33203125" style="4" customWidth="1"/>
    <col min="4" max="5" width="9.4140625" style="4" bestFit="1" customWidth="1"/>
    <col min="6" max="9" width="9.9140625" style="4" bestFit="1" customWidth="1"/>
    <col min="10" max="11" width="9.25" style="4" bestFit="1" customWidth="1"/>
    <col min="12" max="12" width="9.33203125" style="4" customWidth="1"/>
    <col min="13" max="13" width="9.6640625" style="4" bestFit="1" customWidth="1"/>
    <col min="14" max="14" width="11.08203125" style="4" customWidth="1"/>
    <col min="15" max="15" width="5.9140625" style="4" bestFit="1" customWidth="1"/>
    <col min="16" max="16384" width="9.75" style="4"/>
  </cols>
  <sheetData>
    <row r="1" spans="1:16" ht="18.600000000000001" x14ac:dyDescent="0.45">
      <c r="A1" s="3" t="s">
        <v>131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s="45" customFormat="1" x14ac:dyDescent="0.4">
      <c r="A4" s="42" t="s">
        <v>107</v>
      </c>
      <c r="B4" s="43">
        <v>2153.5</v>
      </c>
      <c r="C4" s="43">
        <v>1788.5</v>
      </c>
      <c r="D4" s="43">
        <v>2482</v>
      </c>
      <c r="E4" s="43">
        <v>2664.5</v>
      </c>
      <c r="F4" s="43">
        <v>3066</v>
      </c>
      <c r="G4" s="43">
        <v>4088</v>
      </c>
      <c r="H4" s="43">
        <v>4818</v>
      </c>
      <c r="I4" s="43">
        <v>3759.5</v>
      </c>
      <c r="J4" s="43">
        <v>1022</v>
      </c>
      <c r="K4" s="43">
        <v>73</v>
      </c>
      <c r="L4" s="43">
        <v>2299.5</v>
      </c>
      <c r="M4" s="43">
        <v>3627</v>
      </c>
      <c r="N4" s="43">
        <f t="shared" ref="N4:N36" si="0">SUM(B4:M4)</f>
        <v>31841.5</v>
      </c>
      <c r="O4" s="44">
        <f t="shared" ref="O4:O37" si="1">N4/$N$38</f>
        <v>6.6824913647453688E-2</v>
      </c>
      <c r="P4" s="49"/>
    </row>
    <row r="5" spans="1:16" s="45" customFormat="1" x14ac:dyDescent="0.4">
      <c r="A5" s="42" t="s">
        <v>108</v>
      </c>
      <c r="B5" s="51"/>
      <c r="C5" s="51">
        <v>19</v>
      </c>
      <c r="D5" s="51"/>
      <c r="E5" s="51">
        <v>57</v>
      </c>
      <c r="F5" s="51">
        <v>76</v>
      </c>
      <c r="G5" s="51"/>
      <c r="H5" s="51">
        <v>57</v>
      </c>
      <c r="I5" s="51">
        <v>38</v>
      </c>
      <c r="J5" s="51">
        <v>38</v>
      </c>
      <c r="K5" s="51">
        <v>19</v>
      </c>
      <c r="L5" s="51"/>
      <c r="M5" s="51"/>
      <c r="N5" s="52">
        <f t="shared" si="0"/>
        <v>304</v>
      </c>
      <c r="O5" s="44">
        <f t="shared" si="1"/>
        <v>6.3799675733950735E-4</v>
      </c>
      <c r="P5" s="49"/>
    </row>
    <row r="6" spans="1:16" s="45" customFormat="1" x14ac:dyDescent="0.4">
      <c r="A6" s="42" t="s">
        <v>109</v>
      </c>
      <c r="B6" s="52">
        <v>12017.5</v>
      </c>
      <c r="C6" s="52">
        <v>12765</v>
      </c>
      <c r="D6" s="52">
        <v>12247.5</v>
      </c>
      <c r="E6" s="52">
        <v>12650</v>
      </c>
      <c r="F6" s="52">
        <v>17077.5</v>
      </c>
      <c r="G6" s="52">
        <v>16732.5</v>
      </c>
      <c r="H6" s="52">
        <v>16100</v>
      </c>
      <c r="I6" s="52">
        <v>14145</v>
      </c>
      <c r="J6" s="52">
        <v>2875</v>
      </c>
      <c r="K6" s="52">
        <v>460</v>
      </c>
      <c r="L6" s="52">
        <v>9027.5</v>
      </c>
      <c r="M6" s="52">
        <v>7640</v>
      </c>
      <c r="N6" s="52">
        <f t="shared" si="0"/>
        <v>133737.5</v>
      </c>
      <c r="O6" s="44">
        <f t="shared" si="1"/>
        <v>0.28067135307464591</v>
      </c>
      <c r="P6" s="49"/>
    </row>
    <row r="7" spans="1:16" s="45" customFormat="1" x14ac:dyDescent="0.4">
      <c r="A7" s="42" t="s">
        <v>110</v>
      </c>
      <c r="B7" s="52">
        <v>30</v>
      </c>
      <c r="C7" s="52">
        <v>30</v>
      </c>
      <c r="D7" s="52">
        <v>90</v>
      </c>
      <c r="E7" s="52">
        <v>90</v>
      </c>
      <c r="F7" s="52">
        <v>210</v>
      </c>
      <c r="G7" s="52">
        <v>60</v>
      </c>
      <c r="H7" s="52">
        <v>180</v>
      </c>
      <c r="I7" s="52">
        <v>180</v>
      </c>
      <c r="J7" s="52">
        <v>30</v>
      </c>
      <c r="K7" s="52">
        <v>60</v>
      </c>
      <c r="L7" s="52">
        <v>60</v>
      </c>
      <c r="M7" s="52"/>
      <c r="N7" s="52">
        <f t="shared" si="0"/>
        <v>1020</v>
      </c>
      <c r="O7" s="44">
        <f t="shared" si="1"/>
        <v>2.1406470147575575E-3</v>
      </c>
      <c r="P7" s="49"/>
    </row>
    <row r="8" spans="1:16" s="45" customFormat="1" x14ac:dyDescent="0.4">
      <c r="A8" s="42" t="s">
        <v>132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>
        <v>714</v>
      </c>
      <c r="N8" s="52">
        <f t="shared" ref="N8:N13" si="2">SUM(B8:M8)</f>
        <v>714</v>
      </c>
      <c r="O8" s="44">
        <f t="shared" si="1"/>
        <v>1.4984529103302903E-3</v>
      </c>
      <c r="P8" s="49"/>
    </row>
    <row r="9" spans="1:16" s="45" customFormat="1" x14ac:dyDescent="0.4">
      <c r="A9" s="42" t="s">
        <v>133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>
        <v>918</v>
      </c>
      <c r="N9" s="52">
        <f t="shared" si="2"/>
        <v>918</v>
      </c>
      <c r="O9" s="44">
        <f t="shared" si="1"/>
        <v>1.9265823132818018E-3</v>
      </c>
      <c r="P9" s="49"/>
    </row>
    <row r="10" spans="1:16" s="45" customFormat="1" x14ac:dyDescent="0.4">
      <c r="A10" s="42" t="s">
        <v>134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>
        <v>1260</v>
      </c>
      <c r="N10" s="52">
        <f t="shared" si="2"/>
        <v>1260</v>
      </c>
      <c r="O10" s="44">
        <f t="shared" si="1"/>
        <v>2.6443286652887473E-3</v>
      </c>
      <c r="P10" s="49"/>
    </row>
    <row r="11" spans="1:16" s="45" customFormat="1" x14ac:dyDescent="0.4">
      <c r="A11" s="42" t="s">
        <v>135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>
        <v>8064</v>
      </c>
      <c r="N11" s="52">
        <f t="shared" si="2"/>
        <v>8064</v>
      </c>
      <c r="O11" s="44">
        <f t="shared" si="1"/>
        <v>1.6923703457847983E-2</v>
      </c>
      <c r="P11" s="49"/>
    </row>
    <row r="12" spans="1:16" s="45" customFormat="1" x14ac:dyDescent="0.4">
      <c r="A12" s="42" t="s">
        <v>136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>
        <v>1920</v>
      </c>
      <c r="N12" s="52">
        <f t="shared" si="2"/>
        <v>1920</v>
      </c>
      <c r="O12" s="44">
        <f t="shared" si="1"/>
        <v>4.0294532042495198E-3</v>
      </c>
      <c r="P12" s="49"/>
    </row>
    <row r="13" spans="1:16" s="45" customFormat="1" x14ac:dyDescent="0.4">
      <c r="A13" s="42" t="s">
        <v>137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>
        <v>420</v>
      </c>
      <c r="N13" s="52">
        <f t="shared" si="2"/>
        <v>420</v>
      </c>
      <c r="O13" s="44">
        <f t="shared" si="1"/>
        <v>8.8144288842958247E-4</v>
      </c>
      <c r="P13" s="49"/>
    </row>
    <row r="14" spans="1:16" s="45" customFormat="1" x14ac:dyDescent="0.4">
      <c r="A14" s="42" t="s">
        <v>111</v>
      </c>
      <c r="B14" s="52">
        <v>2306.25</v>
      </c>
      <c r="C14" s="52">
        <v>1893.75</v>
      </c>
      <c r="D14" s="52">
        <v>3637.5</v>
      </c>
      <c r="E14" s="52">
        <v>3393.75</v>
      </c>
      <c r="F14" s="52">
        <v>3525</v>
      </c>
      <c r="G14" s="52">
        <v>3806.25</v>
      </c>
      <c r="H14" s="52">
        <v>3900</v>
      </c>
      <c r="I14" s="52">
        <v>4068.75</v>
      </c>
      <c r="J14" s="52">
        <v>4631.25</v>
      </c>
      <c r="K14" s="52">
        <v>5025</v>
      </c>
      <c r="L14" s="52">
        <v>2793.75</v>
      </c>
      <c r="M14" s="52">
        <v>2493.75</v>
      </c>
      <c r="N14" s="52">
        <f t="shared" si="0"/>
        <v>41475</v>
      </c>
      <c r="O14" s="44">
        <f t="shared" si="1"/>
        <v>8.7042485232421266E-2</v>
      </c>
      <c r="P14" s="49"/>
    </row>
    <row r="15" spans="1:16" s="45" customFormat="1" x14ac:dyDescent="0.4">
      <c r="A15" s="42" t="s">
        <v>4</v>
      </c>
      <c r="B15" s="52">
        <v>1906.5</v>
      </c>
      <c r="C15" s="52">
        <v>1989</v>
      </c>
      <c r="D15" s="52">
        <v>2605.5</v>
      </c>
      <c r="E15" s="52">
        <v>2760</v>
      </c>
      <c r="F15" s="52">
        <v>3489</v>
      </c>
      <c r="G15" s="52">
        <v>3430.5</v>
      </c>
      <c r="H15" s="52">
        <v>6300</v>
      </c>
      <c r="I15" s="52">
        <v>5920.5</v>
      </c>
      <c r="J15" s="52">
        <v>4396.5</v>
      </c>
      <c r="K15" s="52">
        <v>3433.5</v>
      </c>
      <c r="L15" s="52">
        <v>2880</v>
      </c>
      <c r="M15" s="52">
        <v>2797.5</v>
      </c>
      <c r="N15" s="52">
        <f t="shared" si="0"/>
        <v>41908.5</v>
      </c>
      <c r="O15" s="44">
        <f t="shared" si="1"/>
        <v>8.7952260213693234E-2</v>
      </c>
      <c r="P15" s="49"/>
    </row>
    <row r="16" spans="1:16" s="45" customFormat="1" x14ac:dyDescent="0.4">
      <c r="A16" s="42" t="s">
        <v>112</v>
      </c>
      <c r="B16" s="52"/>
      <c r="C16" s="52"/>
      <c r="D16" s="52"/>
      <c r="E16" s="52"/>
      <c r="F16" s="52"/>
      <c r="G16" s="52">
        <v>144</v>
      </c>
      <c r="H16" s="52">
        <v>243</v>
      </c>
      <c r="I16" s="52">
        <v>285</v>
      </c>
      <c r="J16" s="52">
        <v>62.25</v>
      </c>
      <c r="K16" s="52"/>
      <c r="L16" s="52"/>
      <c r="M16" s="52"/>
      <c r="N16" s="52">
        <f t="shared" si="0"/>
        <v>734.25</v>
      </c>
      <c r="O16" s="44">
        <f t="shared" si="1"/>
        <v>1.5409510495938594E-3</v>
      </c>
      <c r="P16" s="49"/>
    </row>
    <row r="17" spans="1:16" s="45" customFormat="1" x14ac:dyDescent="0.4">
      <c r="A17" s="42" t="s">
        <v>129</v>
      </c>
      <c r="B17" s="52">
        <v>4761</v>
      </c>
      <c r="C17" s="52">
        <v>7245</v>
      </c>
      <c r="D17" s="52">
        <v>5658</v>
      </c>
      <c r="E17" s="52">
        <v>7032.25</v>
      </c>
      <c r="F17" s="52">
        <v>12542.5</v>
      </c>
      <c r="G17" s="52">
        <v>12462.75</v>
      </c>
      <c r="H17" s="52">
        <v>20466.75</v>
      </c>
      <c r="I17" s="52">
        <v>18828.25</v>
      </c>
      <c r="J17" s="52">
        <v>6661.75</v>
      </c>
      <c r="K17" s="52"/>
      <c r="L17" s="52">
        <v>8159.25</v>
      </c>
      <c r="M17" s="52">
        <v>10091.25</v>
      </c>
      <c r="N17" s="52">
        <f t="shared" si="0"/>
        <v>113908.75</v>
      </c>
      <c r="O17" s="44">
        <f t="shared" si="1"/>
        <v>0.2390572800414362</v>
      </c>
      <c r="P17" s="49"/>
    </row>
    <row r="18" spans="1:16" s="45" customFormat="1" x14ac:dyDescent="0.4">
      <c r="A18" s="42" t="s">
        <v>5</v>
      </c>
      <c r="B18" s="52">
        <v>475.5</v>
      </c>
      <c r="C18" s="52">
        <v>531.75</v>
      </c>
      <c r="D18" s="52">
        <v>555</v>
      </c>
      <c r="E18" s="52">
        <v>735.75</v>
      </c>
      <c r="F18" s="52">
        <v>971.25</v>
      </c>
      <c r="G18" s="52">
        <v>1015.5</v>
      </c>
      <c r="H18" s="52">
        <v>1793.25</v>
      </c>
      <c r="I18" s="52">
        <v>1748.25</v>
      </c>
      <c r="J18" s="52">
        <v>1070.25</v>
      </c>
      <c r="K18" s="52">
        <v>881.25</v>
      </c>
      <c r="L18" s="52">
        <v>897.75</v>
      </c>
      <c r="M18" s="52">
        <v>688.5</v>
      </c>
      <c r="N18" s="52">
        <f t="shared" si="0"/>
        <v>11364</v>
      </c>
      <c r="O18" s="44">
        <f t="shared" si="1"/>
        <v>2.3849326152651847E-2</v>
      </c>
      <c r="P18" s="49"/>
    </row>
    <row r="19" spans="1:16" s="45" customFormat="1" x14ac:dyDescent="0.4">
      <c r="A19" s="42" t="s">
        <v>114</v>
      </c>
      <c r="B19" s="52">
        <v>259</v>
      </c>
      <c r="C19" s="52">
        <v>406</v>
      </c>
      <c r="D19" s="52">
        <v>123</v>
      </c>
      <c r="E19" s="52">
        <v>438</v>
      </c>
      <c r="F19" s="52">
        <v>262</v>
      </c>
      <c r="G19" s="52">
        <v>434</v>
      </c>
      <c r="H19" s="52">
        <v>213</v>
      </c>
      <c r="I19" s="52">
        <v>177</v>
      </c>
      <c r="J19" s="52">
        <v>1604</v>
      </c>
      <c r="K19" s="52">
        <v>330</v>
      </c>
      <c r="L19" s="52">
        <v>1430</v>
      </c>
      <c r="M19" s="52">
        <v>924</v>
      </c>
      <c r="N19" s="52">
        <f t="shared" si="0"/>
        <v>6600</v>
      </c>
      <c r="O19" s="44">
        <f t="shared" si="1"/>
        <v>1.3851245389607724E-2</v>
      </c>
      <c r="P19" s="49"/>
    </row>
    <row r="20" spans="1:16" s="45" customFormat="1" x14ac:dyDescent="0.4">
      <c r="A20" s="42" t="s">
        <v>115</v>
      </c>
      <c r="B20" s="52">
        <v>3</v>
      </c>
      <c r="C20" s="52">
        <v>30</v>
      </c>
      <c r="D20" s="52">
        <v>57</v>
      </c>
      <c r="E20" s="52">
        <v>60</v>
      </c>
      <c r="F20" s="52">
        <v>108.75</v>
      </c>
      <c r="G20" s="52">
        <v>105</v>
      </c>
      <c r="H20" s="52">
        <v>251</v>
      </c>
      <c r="I20" s="52">
        <v>273.75</v>
      </c>
      <c r="J20" s="52">
        <v>136.5</v>
      </c>
      <c r="K20" s="52">
        <v>15</v>
      </c>
      <c r="L20" s="52">
        <v>30</v>
      </c>
      <c r="M20" s="52">
        <v>18</v>
      </c>
      <c r="N20" s="52">
        <f t="shared" si="0"/>
        <v>1088</v>
      </c>
      <c r="O20" s="44">
        <f t="shared" si="1"/>
        <v>2.2833568157413948E-3</v>
      </c>
      <c r="P20" s="49"/>
    </row>
    <row r="21" spans="1:16" s="45" customFormat="1" x14ac:dyDescent="0.4">
      <c r="A21" s="42" t="s">
        <v>10</v>
      </c>
      <c r="B21" s="52">
        <v>110</v>
      </c>
      <c r="C21" s="52">
        <v>82.5</v>
      </c>
      <c r="D21" s="52">
        <v>126.5</v>
      </c>
      <c r="E21" s="52">
        <v>88</v>
      </c>
      <c r="F21" s="52">
        <v>110</v>
      </c>
      <c r="G21" s="52">
        <v>71.5</v>
      </c>
      <c r="H21" s="52"/>
      <c r="I21" s="52"/>
      <c r="J21" s="52">
        <v>104.5</v>
      </c>
      <c r="K21" s="52">
        <v>110</v>
      </c>
      <c r="L21" s="52">
        <v>104.5</v>
      </c>
      <c r="M21" s="52">
        <v>66</v>
      </c>
      <c r="N21" s="52">
        <f t="shared" si="0"/>
        <v>973.5</v>
      </c>
      <c r="O21" s="44">
        <f t="shared" si="1"/>
        <v>2.0430586949671393E-3</v>
      </c>
      <c r="P21" s="49"/>
    </row>
    <row r="22" spans="1:16" s="45" customFormat="1" x14ac:dyDescent="0.4">
      <c r="A22" s="42" t="s">
        <v>11</v>
      </c>
      <c r="B22" s="52">
        <v>12</v>
      </c>
      <c r="C22" s="52">
        <f>21+6</f>
        <v>27</v>
      </c>
      <c r="D22" s="52">
        <v>15</v>
      </c>
      <c r="E22" s="52">
        <v>12</v>
      </c>
      <c r="F22" s="52">
        <v>153.75</v>
      </c>
      <c r="G22" s="52">
        <v>33.75</v>
      </c>
      <c r="H22" s="52">
        <v>15</v>
      </c>
      <c r="I22" s="52">
        <v>30</v>
      </c>
      <c r="J22" s="52">
        <v>44.25</v>
      </c>
      <c r="K22" s="52"/>
      <c r="L22" s="52">
        <v>9</v>
      </c>
      <c r="M22" s="52">
        <v>24</v>
      </c>
      <c r="N22" s="52">
        <f t="shared" si="0"/>
        <v>375.75</v>
      </c>
      <c r="O22" s="44">
        <f t="shared" si="1"/>
        <v>7.8857658411289437E-4</v>
      </c>
      <c r="P22" s="49"/>
    </row>
    <row r="23" spans="1:16" s="45" customFormat="1" x14ac:dyDescent="0.4">
      <c r="A23" s="42" t="s">
        <v>116</v>
      </c>
      <c r="B23" s="52">
        <v>0.75</v>
      </c>
      <c r="C23" s="52">
        <v>28.5</v>
      </c>
      <c r="D23" s="52">
        <v>21.75</v>
      </c>
      <c r="E23" s="52">
        <v>6.75</v>
      </c>
      <c r="F23" s="52">
        <v>51</v>
      </c>
      <c r="G23" s="52">
        <v>33</v>
      </c>
      <c r="H23" s="52">
        <v>37.5</v>
      </c>
      <c r="I23" s="52">
        <v>34.5</v>
      </c>
      <c r="J23" s="52">
        <v>31.5</v>
      </c>
      <c r="K23" s="52"/>
      <c r="L23" s="52">
        <v>21</v>
      </c>
      <c r="M23" s="52">
        <v>43.5</v>
      </c>
      <c r="N23" s="52">
        <f t="shared" si="0"/>
        <v>309.75</v>
      </c>
      <c r="O23" s="44">
        <f t="shared" si="1"/>
        <v>6.5006413021681715E-4</v>
      </c>
      <c r="P23" s="49"/>
    </row>
    <row r="24" spans="1:16" s="45" customFormat="1" x14ac:dyDescent="0.4">
      <c r="A24" s="42" t="s">
        <v>130</v>
      </c>
      <c r="B24" s="52">
        <v>440</v>
      </c>
      <c r="C24" s="52">
        <v>670</v>
      </c>
      <c r="D24" s="52">
        <v>510</v>
      </c>
      <c r="E24" s="52">
        <v>685</v>
      </c>
      <c r="F24" s="52">
        <v>1124.5</v>
      </c>
      <c r="G24" s="52">
        <v>1209</v>
      </c>
      <c r="H24" s="52">
        <v>1911</v>
      </c>
      <c r="I24" s="52">
        <v>1735.5</v>
      </c>
      <c r="J24" s="52">
        <v>672</v>
      </c>
      <c r="K24" s="52"/>
      <c r="L24" s="52">
        <v>995</v>
      </c>
      <c r="M24" s="52">
        <v>1475</v>
      </c>
      <c r="N24" s="52">
        <f t="shared" si="0"/>
        <v>11427</v>
      </c>
      <c r="O24" s="44">
        <f t="shared" si="1"/>
        <v>2.3981542585916282E-2</v>
      </c>
      <c r="P24" s="49"/>
    </row>
    <row r="25" spans="1:16" s="45" customFormat="1" x14ac:dyDescent="0.4">
      <c r="A25" s="42" t="s">
        <v>14</v>
      </c>
      <c r="B25" s="52">
        <v>81.25</v>
      </c>
      <c r="C25" s="52">
        <v>112.5</v>
      </c>
      <c r="D25" s="52">
        <v>106.25</v>
      </c>
      <c r="E25" s="52">
        <v>156.25</v>
      </c>
      <c r="F25" s="52">
        <v>105</v>
      </c>
      <c r="G25" s="52">
        <v>206.25</v>
      </c>
      <c r="H25" s="52">
        <v>243.75</v>
      </c>
      <c r="I25" s="52">
        <v>212.5</v>
      </c>
      <c r="J25" s="52">
        <v>100</v>
      </c>
      <c r="K25" s="52">
        <v>81.25</v>
      </c>
      <c r="L25" s="52">
        <v>137.5</v>
      </c>
      <c r="M25" s="52">
        <v>79.25</v>
      </c>
      <c r="N25" s="52">
        <f t="shared" si="0"/>
        <v>1621.75</v>
      </c>
      <c r="O25" s="44">
        <f t="shared" si="1"/>
        <v>3.4035238197873225E-3</v>
      </c>
      <c r="P25" s="49"/>
    </row>
    <row r="26" spans="1:16" s="45" customFormat="1" x14ac:dyDescent="0.4">
      <c r="A26" s="42" t="s">
        <v>118</v>
      </c>
      <c r="B26" s="52">
        <v>1152.75</v>
      </c>
      <c r="C26" s="52">
        <v>1392</v>
      </c>
      <c r="D26" s="52">
        <v>1348.5</v>
      </c>
      <c r="E26" s="52">
        <v>1392</v>
      </c>
      <c r="F26" s="52">
        <v>2155.25</v>
      </c>
      <c r="G26" s="52">
        <v>2608.5</v>
      </c>
      <c r="H26" s="52">
        <v>2516</v>
      </c>
      <c r="I26" s="52">
        <v>2941.5</v>
      </c>
      <c r="J26" s="52">
        <v>1141.75</v>
      </c>
      <c r="K26" s="52"/>
      <c r="L26" s="52">
        <v>1203.5</v>
      </c>
      <c r="M26" s="52">
        <v>1341.25</v>
      </c>
      <c r="N26" s="52">
        <f t="shared" si="0"/>
        <v>19193</v>
      </c>
      <c r="O26" s="44">
        <f t="shared" si="1"/>
        <v>4.027984132768804E-2</v>
      </c>
      <c r="P26" s="49"/>
    </row>
    <row r="27" spans="1:16" s="45" customFormat="1" x14ac:dyDescent="0.4">
      <c r="A27" s="42" t="s">
        <v>119</v>
      </c>
      <c r="B27" s="52">
        <v>665</v>
      </c>
      <c r="C27" s="52">
        <v>579.5</v>
      </c>
      <c r="D27" s="52">
        <v>988</v>
      </c>
      <c r="E27" s="52">
        <v>1130.5</v>
      </c>
      <c r="F27" s="52">
        <v>1548</v>
      </c>
      <c r="G27" s="52">
        <v>1212</v>
      </c>
      <c r="H27" s="52">
        <v>1308</v>
      </c>
      <c r="I27" s="52">
        <v>1404</v>
      </c>
      <c r="J27" s="52">
        <v>736</v>
      </c>
      <c r="K27" s="52"/>
      <c r="L27" s="52">
        <v>1149.5</v>
      </c>
      <c r="M27" s="52">
        <v>1197</v>
      </c>
      <c r="N27" s="52">
        <f t="shared" si="0"/>
        <v>11917.5</v>
      </c>
      <c r="O27" s="44">
        <f t="shared" si="1"/>
        <v>2.5010941959189403E-2</v>
      </c>
      <c r="P27" s="49"/>
    </row>
    <row r="28" spans="1:16" s="45" customFormat="1" x14ac:dyDescent="0.4">
      <c r="A28" s="42" t="s">
        <v>120</v>
      </c>
      <c r="B28" s="52">
        <v>318.5</v>
      </c>
      <c r="C28" s="52">
        <v>281.75</v>
      </c>
      <c r="D28" s="52">
        <v>343</v>
      </c>
      <c r="E28" s="52">
        <v>563.5</v>
      </c>
      <c r="F28" s="52">
        <v>852.5</v>
      </c>
      <c r="G28" s="52">
        <v>992</v>
      </c>
      <c r="H28" s="52">
        <v>1209</v>
      </c>
      <c r="I28" s="52">
        <v>1178</v>
      </c>
      <c r="J28" s="52">
        <v>480</v>
      </c>
      <c r="K28" s="52"/>
      <c r="L28" s="52">
        <v>490</v>
      </c>
      <c r="M28" s="52">
        <v>416.5</v>
      </c>
      <c r="N28" s="52">
        <f t="shared" si="0"/>
        <v>7124.75</v>
      </c>
      <c r="O28" s="44">
        <f t="shared" si="1"/>
        <v>1.4952524331758733E-2</v>
      </c>
      <c r="P28" s="49"/>
    </row>
    <row r="29" spans="1:16" s="45" customFormat="1" x14ac:dyDescent="0.4">
      <c r="A29" s="42" t="s">
        <v>121</v>
      </c>
      <c r="B29" s="52">
        <v>165</v>
      </c>
      <c r="C29" s="52">
        <v>510</v>
      </c>
      <c r="D29" s="52">
        <v>765</v>
      </c>
      <c r="E29" s="52">
        <v>930</v>
      </c>
      <c r="F29" s="52">
        <v>1181.25</v>
      </c>
      <c r="G29" s="52">
        <v>1275</v>
      </c>
      <c r="H29" s="52">
        <v>1406.25</v>
      </c>
      <c r="I29" s="52">
        <v>1500</v>
      </c>
      <c r="J29" s="52">
        <v>1050</v>
      </c>
      <c r="K29" s="52"/>
      <c r="L29" s="52">
        <v>705</v>
      </c>
      <c r="M29" s="52">
        <v>615</v>
      </c>
      <c r="N29" s="52">
        <f t="shared" si="0"/>
        <v>10102.5</v>
      </c>
      <c r="O29" s="44">
        <f t="shared" si="1"/>
        <v>2.1201849477047278E-2</v>
      </c>
      <c r="P29" s="49"/>
    </row>
    <row r="30" spans="1:16" s="45" customFormat="1" x14ac:dyDescent="0.4">
      <c r="A30" s="42" t="s">
        <v>122</v>
      </c>
      <c r="B30" s="52">
        <v>328.5</v>
      </c>
      <c r="C30" s="52">
        <v>200.75</v>
      </c>
      <c r="D30" s="52">
        <v>310.25</v>
      </c>
      <c r="E30" s="52">
        <v>383.25</v>
      </c>
      <c r="F30" s="52">
        <v>966</v>
      </c>
      <c r="G30" s="52">
        <v>506</v>
      </c>
      <c r="H30" s="52">
        <v>1196</v>
      </c>
      <c r="I30" s="52">
        <v>805</v>
      </c>
      <c r="J30" s="52">
        <v>434.75</v>
      </c>
      <c r="K30" s="52"/>
      <c r="L30" s="52">
        <v>456.25</v>
      </c>
      <c r="M30" s="52">
        <v>383.25</v>
      </c>
      <c r="N30" s="52">
        <f t="shared" si="0"/>
        <v>5970</v>
      </c>
      <c r="O30" s="44">
        <f t="shared" si="1"/>
        <v>1.2529081056963352E-2</v>
      </c>
      <c r="P30" s="49"/>
    </row>
    <row r="31" spans="1:16" s="45" customFormat="1" x14ac:dyDescent="0.4">
      <c r="A31" s="42" t="s">
        <v>123</v>
      </c>
      <c r="B31" s="52">
        <v>21.75</v>
      </c>
      <c r="C31" s="52">
        <v>108.75</v>
      </c>
      <c r="D31" s="52">
        <v>87</v>
      </c>
      <c r="E31" s="52">
        <v>65.25</v>
      </c>
      <c r="F31" s="52">
        <v>381.5</v>
      </c>
      <c r="G31" s="52">
        <v>463.25</v>
      </c>
      <c r="H31" s="52">
        <v>327</v>
      </c>
      <c r="I31" s="52">
        <v>572.25</v>
      </c>
      <c r="J31" s="52">
        <v>283</v>
      </c>
      <c r="K31" s="52"/>
      <c r="L31" s="52">
        <v>152.25</v>
      </c>
      <c r="M31" s="52">
        <v>87</v>
      </c>
      <c r="N31" s="52">
        <f t="shared" si="0"/>
        <v>2549</v>
      </c>
      <c r="O31" s="44">
        <f t="shared" si="1"/>
        <v>5.349518863350014E-3</v>
      </c>
      <c r="P31" s="49"/>
    </row>
    <row r="32" spans="1:16" s="45" customFormat="1" x14ac:dyDescent="0.4">
      <c r="A32" s="42" t="s">
        <v>124</v>
      </c>
      <c r="B32" s="52">
        <v>25.5</v>
      </c>
      <c r="C32" s="52">
        <v>153</v>
      </c>
      <c r="D32" s="52">
        <v>127.5</v>
      </c>
      <c r="E32" s="52">
        <v>204</v>
      </c>
      <c r="F32" s="52">
        <v>320</v>
      </c>
      <c r="G32" s="52">
        <v>64</v>
      </c>
      <c r="H32" s="52">
        <v>256</v>
      </c>
      <c r="I32" s="52">
        <v>160</v>
      </c>
      <c r="J32" s="52">
        <v>83</v>
      </c>
      <c r="K32" s="52"/>
      <c r="L32" s="52">
        <v>178.5</v>
      </c>
      <c r="M32" s="52">
        <v>25.5</v>
      </c>
      <c r="N32" s="52">
        <f t="shared" si="0"/>
        <v>1597</v>
      </c>
      <c r="O32" s="44">
        <f t="shared" si="1"/>
        <v>3.3515816495762935E-3</v>
      </c>
      <c r="P32" s="49"/>
    </row>
    <row r="33" spans="1:21" s="45" customFormat="1" x14ac:dyDescent="0.4">
      <c r="A33" s="42" t="s">
        <v>125</v>
      </c>
      <c r="B33" s="52">
        <v>118</v>
      </c>
      <c r="C33" s="52">
        <v>88.5</v>
      </c>
      <c r="D33" s="52">
        <v>59</v>
      </c>
      <c r="E33" s="52">
        <v>177</v>
      </c>
      <c r="F33" s="52">
        <v>185</v>
      </c>
      <c r="G33" s="52">
        <v>259</v>
      </c>
      <c r="H33" s="52">
        <v>222</v>
      </c>
      <c r="I33" s="52">
        <v>185</v>
      </c>
      <c r="J33" s="52">
        <v>118</v>
      </c>
      <c r="K33" s="52"/>
      <c r="L33" s="52">
        <v>88.5</v>
      </c>
      <c r="M33" s="52">
        <v>147.5</v>
      </c>
      <c r="N33" s="52">
        <f t="shared" si="0"/>
        <v>1647.5</v>
      </c>
      <c r="O33" s="44">
        <f t="shared" si="1"/>
        <v>3.4575646635422314E-3</v>
      </c>
      <c r="P33" s="49"/>
    </row>
    <row r="34" spans="1:21" s="45" customFormat="1" x14ac:dyDescent="0.4">
      <c r="A34" s="42" t="s">
        <v>126</v>
      </c>
      <c r="B34" s="52">
        <v>135</v>
      </c>
      <c r="C34" s="52">
        <v>168.75</v>
      </c>
      <c r="D34" s="52">
        <v>135</v>
      </c>
      <c r="E34" s="52">
        <v>135</v>
      </c>
      <c r="F34" s="52">
        <v>760.5</v>
      </c>
      <c r="G34" s="52">
        <v>253.5</v>
      </c>
      <c r="H34" s="52">
        <v>338</v>
      </c>
      <c r="I34" s="52">
        <v>422.5</v>
      </c>
      <c r="J34" s="52">
        <v>304</v>
      </c>
      <c r="K34" s="52"/>
      <c r="L34" s="52">
        <v>101.25</v>
      </c>
      <c r="M34" s="52">
        <v>236.25</v>
      </c>
      <c r="N34" s="52">
        <f t="shared" si="0"/>
        <v>2989.75</v>
      </c>
      <c r="O34" s="44">
        <f t="shared" si="1"/>
        <v>6.2745092278151055E-3</v>
      </c>
      <c r="P34" s="49"/>
    </row>
    <row r="35" spans="1:21" s="45" customFormat="1" x14ac:dyDescent="0.4">
      <c r="A35" s="42" t="s">
        <v>127</v>
      </c>
      <c r="B35" s="52">
        <v>29.5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>
        <v>29.5</v>
      </c>
      <c r="N35" s="52">
        <f t="shared" si="0"/>
        <v>59</v>
      </c>
      <c r="O35" s="44">
        <f t="shared" si="1"/>
        <v>1.2382173908891754E-4</v>
      </c>
      <c r="P35" s="49"/>
    </row>
    <row r="36" spans="1:21" s="45" customFormat="1" x14ac:dyDescent="0.4">
      <c r="A36" s="42" t="s">
        <v>10</v>
      </c>
      <c r="B36" s="52">
        <v>12</v>
      </c>
      <c r="C36" s="52">
        <v>9</v>
      </c>
      <c r="D36" s="52">
        <v>13.8</v>
      </c>
      <c r="E36" s="52">
        <v>9.6</v>
      </c>
      <c r="F36" s="52">
        <v>12</v>
      </c>
      <c r="G36" s="52">
        <v>7.8</v>
      </c>
      <c r="H36" s="52"/>
      <c r="I36" s="52"/>
      <c r="J36" s="52">
        <v>11.4</v>
      </c>
      <c r="K36" s="52">
        <v>12</v>
      </c>
      <c r="L36" s="52">
        <v>11.4</v>
      </c>
      <c r="M36" s="52">
        <v>7.2</v>
      </c>
      <c r="N36" s="52">
        <f t="shared" si="0"/>
        <v>106.20000000000002</v>
      </c>
      <c r="O36" s="44">
        <f t="shared" si="1"/>
        <v>2.228791303600516E-4</v>
      </c>
      <c r="P36" s="49"/>
    </row>
    <row r="37" spans="1:21" s="45" customFormat="1" x14ac:dyDescent="0.4">
      <c r="A37" s="42" t="s">
        <v>138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>
        <v>1250</v>
      </c>
      <c r="N37" s="52">
        <f>SUM(B37:M37)</f>
        <v>1250</v>
      </c>
      <c r="O37" s="44">
        <f t="shared" si="1"/>
        <v>2.6233419298499479E-3</v>
      </c>
      <c r="P37" s="49"/>
    </row>
    <row r="38" spans="1:21" x14ac:dyDescent="0.4">
      <c r="A38" s="5" t="s">
        <v>25</v>
      </c>
      <c r="B38" s="39">
        <f t="shared" ref="B38:L38" si="3">SUM(B4:B36)</f>
        <v>27527.75</v>
      </c>
      <c r="C38" s="39">
        <f t="shared" si="3"/>
        <v>31110.5</v>
      </c>
      <c r="D38" s="39">
        <f t="shared" si="3"/>
        <v>32412.05</v>
      </c>
      <c r="E38" s="39">
        <f t="shared" si="3"/>
        <v>35819.35</v>
      </c>
      <c r="F38" s="39">
        <f t="shared" si="3"/>
        <v>51234.25</v>
      </c>
      <c r="G38" s="39">
        <f t="shared" si="3"/>
        <v>51473.05</v>
      </c>
      <c r="H38" s="39">
        <f t="shared" si="3"/>
        <v>65307.5</v>
      </c>
      <c r="I38" s="39">
        <f t="shared" si="3"/>
        <v>60604.75</v>
      </c>
      <c r="J38" s="39">
        <f>SUM(J4:J36)</f>
        <v>28121.65</v>
      </c>
      <c r="K38" s="39">
        <f t="shared" si="3"/>
        <v>10500</v>
      </c>
      <c r="L38" s="39">
        <f t="shared" si="3"/>
        <v>33380.9</v>
      </c>
      <c r="M38" s="39">
        <f>SUM(M4:M37)</f>
        <v>48999.7</v>
      </c>
      <c r="N38" s="39">
        <f>SUM(N4:N37)</f>
        <v>476491.45</v>
      </c>
      <c r="O38" s="40">
        <f>SUM(O4:O37)</f>
        <v>1</v>
      </c>
    </row>
    <row r="39" spans="1:21" x14ac:dyDescent="0.4">
      <c r="A39" s="12"/>
    </row>
    <row r="42" spans="1:21" ht="16.8" x14ac:dyDescent="0.4">
      <c r="A42" t="s">
        <v>148</v>
      </c>
      <c r="B42" s="39">
        <f t="shared" ref="B42:M42" si="4">+B4+B5+B6+B7+B8+B10+B11+B13+B17+B20+B24+B26+B27+B28+B29+B30+B31+B32+B33+B34+B35+B19+B21+B22+B36</f>
        <v>22757.5</v>
      </c>
      <c r="C42" s="39">
        <f t="shared" si="4"/>
        <v>26555</v>
      </c>
      <c r="D42" s="39">
        <f t="shared" si="4"/>
        <v>25486.05</v>
      </c>
      <c r="E42" s="39">
        <f t="shared" si="4"/>
        <v>28766.85</v>
      </c>
      <c r="F42" s="39">
        <f t="shared" si="4"/>
        <v>43093</v>
      </c>
      <c r="G42" s="39">
        <f t="shared" si="4"/>
        <v>42837.55</v>
      </c>
      <c r="H42" s="39">
        <f t="shared" si="4"/>
        <v>52790</v>
      </c>
      <c r="I42" s="39">
        <f t="shared" si="4"/>
        <v>48335.25</v>
      </c>
      <c r="J42" s="39">
        <f t="shared" si="4"/>
        <v>17829.900000000001</v>
      </c>
      <c r="K42" s="39">
        <f t="shared" si="4"/>
        <v>1079</v>
      </c>
      <c r="L42" s="39">
        <f t="shared" si="4"/>
        <v>26650.9</v>
      </c>
      <c r="M42" s="39">
        <f t="shared" si="4"/>
        <v>38809.199999999997</v>
      </c>
      <c r="N42" s="39">
        <f>+N4+N5+N6+N7+N8+N10+N11+N13+N17+N20+N24+N26+N27+N28+N29+N30+N31+N32+N33+N34+N35+N19+N21+N22+N36</f>
        <v>374990.2</v>
      </c>
    </row>
    <row r="43" spans="1:21" ht="16.8" x14ac:dyDescent="0.4">
      <c r="A43" t="s">
        <v>149</v>
      </c>
      <c r="B43" s="50">
        <f t="shared" ref="B43:M43" si="5">+B9+B12+B14+B15+B18+B23+B25+B37+B16</f>
        <v>4770.25</v>
      </c>
      <c r="C43" s="50">
        <f t="shared" si="5"/>
        <v>4555.5</v>
      </c>
      <c r="D43" s="50">
        <f t="shared" si="5"/>
        <v>6926</v>
      </c>
      <c r="E43" s="50">
        <f t="shared" si="5"/>
        <v>7052.5</v>
      </c>
      <c r="F43" s="50">
        <f t="shared" si="5"/>
        <v>8141.25</v>
      </c>
      <c r="G43" s="50">
        <f t="shared" si="5"/>
        <v>8635.5</v>
      </c>
      <c r="H43" s="50">
        <f t="shared" si="5"/>
        <v>12517.5</v>
      </c>
      <c r="I43" s="50">
        <f t="shared" si="5"/>
        <v>12269.5</v>
      </c>
      <c r="J43" s="50">
        <f t="shared" si="5"/>
        <v>10291.75</v>
      </c>
      <c r="K43" s="50">
        <f t="shared" si="5"/>
        <v>9421</v>
      </c>
      <c r="L43" s="50">
        <f t="shared" si="5"/>
        <v>6730</v>
      </c>
      <c r="M43" s="50">
        <f t="shared" si="5"/>
        <v>10190.5</v>
      </c>
      <c r="N43" s="50">
        <f>+N9+N12+N14+N15+N18+N23+N25+N37+N16</f>
        <v>101501.25</v>
      </c>
      <c r="O43" s="50"/>
      <c r="P43" s="50"/>
      <c r="Q43" s="50"/>
      <c r="R43" s="50"/>
      <c r="S43" s="50"/>
      <c r="T43" s="50"/>
      <c r="U43" s="50"/>
    </row>
    <row r="44" spans="1:21" s="48" customFormat="1" ht="17.399999999999999" thickBot="1" x14ac:dyDescent="0.45">
      <c r="A44" s="46" t="s">
        <v>143</v>
      </c>
      <c r="B44" s="47">
        <f t="shared" ref="B44:M44" si="6">SUM(B42:B43)</f>
        <v>27527.75</v>
      </c>
      <c r="C44" s="47">
        <f t="shared" si="6"/>
        <v>31110.5</v>
      </c>
      <c r="D44" s="47">
        <f t="shared" si="6"/>
        <v>32412.05</v>
      </c>
      <c r="E44" s="47">
        <f t="shared" si="6"/>
        <v>35819.35</v>
      </c>
      <c r="F44" s="47">
        <f t="shared" si="6"/>
        <v>51234.25</v>
      </c>
      <c r="G44" s="47">
        <f t="shared" si="6"/>
        <v>51473.05</v>
      </c>
      <c r="H44" s="47">
        <f t="shared" si="6"/>
        <v>65307.5</v>
      </c>
      <c r="I44" s="47">
        <f t="shared" si="6"/>
        <v>60604.75</v>
      </c>
      <c r="J44" s="47">
        <f t="shared" si="6"/>
        <v>28121.65</v>
      </c>
      <c r="K44" s="47">
        <f t="shared" si="6"/>
        <v>10500</v>
      </c>
      <c r="L44" s="47">
        <f t="shared" si="6"/>
        <v>33380.9</v>
      </c>
      <c r="M44" s="47">
        <f t="shared" si="6"/>
        <v>48999.7</v>
      </c>
      <c r="N44" s="47">
        <f>SUM(N42:N43)</f>
        <v>476491.45</v>
      </c>
    </row>
    <row r="45" spans="1:21" ht="16.8" thickTop="1" x14ac:dyDescent="0.4"/>
    <row r="46" spans="1:21" x14ac:dyDescent="0.4">
      <c r="B46" s="39">
        <f>+B44-B38</f>
        <v>0</v>
      </c>
      <c r="C46" s="39">
        <f t="shared" ref="C46:N46" si="7">+C44-C38</f>
        <v>0</v>
      </c>
      <c r="D46" s="39">
        <f t="shared" si="7"/>
        <v>0</v>
      </c>
      <c r="E46" s="39">
        <f t="shared" si="7"/>
        <v>0</v>
      </c>
      <c r="F46" s="39">
        <f t="shared" si="7"/>
        <v>0</v>
      </c>
      <c r="G46" s="39">
        <f t="shared" si="7"/>
        <v>0</v>
      </c>
      <c r="H46" s="39">
        <f t="shared" si="7"/>
        <v>0</v>
      </c>
      <c r="I46" s="39">
        <f t="shared" si="7"/>
        <v>0</v>
      </c>
      <c r="J46" s="39">
        <f t="shared" si="7"/>
        <v>0</v>
      </c>
      <c r="K46" s="39">
        <f t="shared" si="7"/>
        <v>0</v>
      </c>
      <c r="L46" s="39">
        <f t="shared" si="7"/>
        <v>0</v>
      </c>
      <c r="M46" s="39">
        <f t="shared" si="7"/>
        <v>0</v>
      </c>
      <c r="N46" s="39">
        <f t="shared" si="7"/>
        <v>0</v>
      </c>
    </row>
    <row r="50" spans="1:14" x14ac:dyDescent="0.4">
      <c r="A50" s="60" t="s">
        <v>204</v>
      </c>
      <c r="B50" s="61">
        <f>+B4+B5+B6+B7+B8+B10+B11+B13</f>
        <v>14201</v>
      </c>
      <c r="C50" s="61">
        <f t="shared" ref="C50:M50" si="8">+C4+C5+C6+C7+C8+C10+C11+C13</f>
        <v>14602.5</v>
      </c>
      <c r="D50" s="61">
        <f t="shared" si="8"/>
        <v>14819.5</v>
      </c>
      <c r="E50" s="61">
        <f t="shared" si="8"/>
        <v>15461.5</v>
      </c>
      <c r="F50" s="61">
        <f t="shared" si="8"/>
        <v>20429.5</v>
      </c>
      <c r="G50" s="61">
        <f t="shared" si="8"/>
        <v>20880.5</v>
      </c>
      <c r="H50" s="61">
        <f t="shared" si="8"/>
        <v>21155</v>
      </c>
      <c r="I50" s="61">
        <f t="shared" si="8"/>
        <v>18122.5</v>
      </c>
      <c r="J50" s="61">
        <f t="shared" si="8"/>
        <v>3965</v>
      </c>
      <c r="K50" s="61">
        <f t="shared" si="8"/>
        <v>612</v>
      </c>
      <c r="L50" s="61">
        <f t="shared" si="8"/>
        <v>11387</v>
      </c>
      <c r="M50" s="61">
        <f t="shared" si="8"/>
        <v>21725</v>
      </c>
      <c r="N50" s="61">
        <f>SUM(B50:M50)</f>
        <v>177361</v>
      </c>
    </row>
    <row r="51" spans="1:14" x14ac:dyDescent="0.4">
      <c r="A51" s="60" t="s">
        <v>205</v>
      </c>
      <c r="B51" s="61">
        <f>+B17+B24</f>
        <v>5201</v>
      </c>
      <c r="C51" s="61">
        <f t="shared" ref="C51:M51" si="9">+C17+C24</f>
        <v>7915</v>
      </c>
      <c r="D51" s="61">
        <f t="shared" si="9"/>
        <v>6168</v>
      </c>
      <c r="E51" s="61">
        <f t="shared" si="9"/>
        <v>7717.25</v>
      </c>
      <c r="F51" s="61">
        <f t="shared" si="9"/>
        <v>13667</v>
      </c>
      <c r="G51" s="61">
        <f t="shared" si="9"/>
        <v>13671.75</v>
      </c>
      <c r="H51" s="61">
        <f t="shared" si="9"/>
        <v>22377.75</v>
      </c>
      <c r="I51" s="61">
        <f t="shared" si="9"/>
        <v>20563.75</v>
      </c>
      <c r="J51" s="61">
        <f t="shared" si="9"/>
        <v>7333.75</v>
      </c>
      <c r="K51" s="61">
        <f t="shared" si="9"/>
        <v>0</v>
      </c>
      <c r="L51" s="61">
        <f t="shared" si="9"/>
        <v>9154.25</v>
      </c>
      <c r="M51" s="61">
        <f t="shared" si="9"/>
        <v>11566.25</v>
      </c>
      <c r="N51" s="61">
        <f t="shared" ref="N51:N56" si="10">SUM(B51:M51)</f>
        <v>125335.75</v>
      </c>
    </row>
    <row r="52" spans="1:14" x14ac:dyDescent="0.4">
      <c r="A52" s="60" t="s">
        <v>206</v>
      </c>
      <c r="B52" s="61">
        <f>+B20</f>
        <v>3</v>
      </c>
      <c r="C52" s="61">
        <f t="shared" ref="C52:M52" si="11">+C20</f>
        <v>30</v>
      </c>
      <c r="D52" s="61">
        <f t="shared" si="11"/>
        <v>57</v>
      </c>
      <c r="E52" s="61">
        <f t="shared" si="11"/>
        <v>60</v>
      </c>
      <c r="F52" s="61">
        <f t="shared" si="11"/>
        <v>108.75</v>
      </c>
      <c r="G52" s="61">
        <f t="shared" si="11"/>
        <v>105</v>
      </c>
      <c r="H52" s="61">
        <f t="shared" si="11"/>
        <v>251</v>
      </c>
      <c r="I52" s="61">
        <f t="shared" si="11"/>
        <v>273.75</v>
      </c>
      <c r="J52" s="61">
        <f t="shared" si="11"/>
        <v>136.5</v>
      </c>
      <c r="K52" s="61">
        <f t="shared" si="11"/>
        <v>15</v>
      </c>
      <c r="L52" s="61">
        <f t="shared" si="11"/>
        <v>30</v>
      </c>
      <c r="M52" s="61">
        <f t="shared" si="11"/>
        <v>18</v>
      </c>
      <c r="N52" s="61">
        <f t="shared" si="10"/>
        <v>1088</v>
      </c>
    </row>
    <row r="53" spans="1:14" x14ac:dyDescent="0.4">
      <c r="A53" s="60" t="s">
        <v>207</v>
      </c>
      <c r="B53" s="61">
        <f>+B26+B27+B28+B29+B30+B31+B32+B33+B34</f>
        <v>2930</v>
      </c>
      <c r="C53" s="61">
        <f t="shared" ref="C53:M53" si="12">+C26+C27+C28+C29+C30+C31+C32+C33+C34</f>
        <v>3483</v>
      </c>
      <c r="D53" s="61">
        <f t="shared" si="12"/>
        <v>4163.25</v>
      </c>
      <c r="E53" s="61">
        <f t="shared" si="12"/>
        <v>4980.5</v>
      </c>
      <c r="F53" s="61">
        <f t="shared" si="12"/>
        <v>8350</v>
      </c>
      <c r="G53" s="61">
        <f t="shared" si="12"/>
        <v>7633.25</v>
      </c>
      <c r="H53" s="61">
        <f t="shared" si="12"/>
        <v>8778.25</v>
      </c>
      <c r="I53" s="61">
        <f t="shared" si="12"/>
        <v>9168.25</v>
      </c>
      <c r="J53" s="61">
        <f t="shared" si="12"/>
        <v>4630.5</v>
      </c>
      <c r="K53" s="61">
        <f t="shared" si="12"/>
        <v>0</v>
      </c>
      <c r="L53" s="61">
        <f t="shared" si="12"/>
        <v>4524.75</v>
      </c>
      <c r="M53" s="61">
        <f t="shared" si="12"/>
        <v>4449.25</v>
      </c>
      <c r="N53" s="61">
        <f t="shared" si="10"/>
        <v>63091</v>
      </c>
    </row>
    <row r="54" spans="1:14" x14ac:dyDescent="0.4">
      <c r="A54" s="60" t="s">
        <v>208</v>
      </c>
      <c r="B54" s="61">
        <f>+B9+B12+B14+B25</f>
        <v>2387.5</v>
      </c>
      <c r="C54" s="61">
        <f t="shared" ref="C54:M54" si="13">+C9+C12+C14+C25</f>
        <v>2006.25</v>
      </c>
      <c r="D54" s="61">
        <f t="shared" si="13"/>
        <v>3743.75</v>
      </c>
      <c r="E54" s="61">
        <f t="shared" si="13"/>
        <v>3550</v>
      </c>
      <c r="F54" s="61">
        <f t="shared" si="13"/>
        <v>3630</v>
      </c>
      <c r="G54" s="61">
        <f t="shared" si="13"/>
        <v>4012.5</v>
      </c>
      <c r="H54" s="61">
        <f t="shared" si="13"/>
        <v>4143.75</v>
      </c>
      <c r="I54" s="61">
        <f t="shared" si="13"/>
        <v>4281.25</v>
      </c>
      <c r="J54" s="61">
        <f t="shared" si="13"/>
        <v>4731.25</v>
      </c>
      <c r="K54" s="61">
        <f t="shared" si="13"/>
        <v>5106.25</v>
      </c>
      <c r="L54" s="61">
        <f t="shared" si="13"/>
        <v>2931.25</v>
      </c>
      <c r="M54" s="61">
        <f t="shared" si="13"/>
        <v>5411</v>
      </c>
      <c r="N54" s="61">
        <f t="shared" si="10"/>
        <v>45934.75</v>
      </c>
    </row>
    <row r="55" spans="1:14" x14ac:dyDescent="0.4">
      <c r="A55" s="60" t="s">
        <v>209</v>
      </c>
      <c r="B55" s="61">
        <f>+B15+B18+B23</f>
        <v>2382.75</v>
      </c>
      <c r="C55" s="61">
        <f t="shared" ref="C55:M55" si="14">+C15+C18+C23</f>
        <v>2549.25</v>
      </c>
      <c r="D55" s="61">
        <f t="shared" si="14"/>
        <v>3182.25</v>
      </c>
      <c r="E55" s="61">
        <f t="shared" si="14"/>
        <v>3502.5</v>
      </c>
      <c r="F55" s="61">
        <f t="shared" si="14"/>
        <v>4511.25</v>
      </c>
      <c r="G55" s="61">
        <f t="shared" si="14"/>
        <v>4479</v>
      </c>
      <c r="H55" s="61">
        <f t="shared" si="14"/>
        <v>8130.75</v>
      </c>
      <c r="I55" s="61">
        <f t="shared" si="14"/>
        <v>7703.25</v>
      </c>
      <c r="J55" s="61">
        <f t="shared" si="14"/>
        <v>5498.25</v>
      </c>
      <c r="K55" s="61">
        <f t="shared" si="14"/>
        <v>4314.75</v>
      </c>
      <c r="L55" s="61">
        <f t="shared" si="14"/>
        <v>3798.75</v>
      </c>
      <c r="M55" s="61">
        <f t="shared" si="14"/>
        <v>3529.5</v>
      </c>
      <c r="N55" s="61">
        <f t="shared" si="10"/>
        <v>53582.25</v>
      </c>
    </row>
    <row r="56" spans="1:14" x14ac:dyDescent="0.4">
      <c r="A56" s="60" t="s">
        <v>210</v>
      </c>
      <c r="B56" s="61">
        <f>+B16</f>
        <v>0</v>
      </c>
      <c r="C56" s="61">
        <f t="shared" ref="C56:M56" si="15">+C16</f>
        <v>0</v>
      </c>
      <c r="D56" s="61">
        <f t="shared" si="15"/>
        <v>0</v>
      </c>
      <c r="E56" s="61">
        <f t="shared" si="15"/>
        <v>0</v>
      </c>
      <c r="F56" s="61">
        <f t="shared" si="15"/>
        <v>0</v>
      </c>
      <c r="G56" s="61">
        <f t="shared" si="15"/>
        <v>144</v>
      </c>
      <c r="H56" s="61">
        <f t="shared" si="15"/>
        <v>243</v>
      </c>
      <c r="I56" s="61">
        <f t="shared" si="15"/>
        <v>285</v>
      </c>
      <c r="J56" s="61">
        <f t="shared" si="15"/>
        <v>62.25</v>
      </c>
      <c r="K56" s="61">
        <f t="shared" si="15"/>
        <v>0</v>
      </c>
      <c r="L56" s="61">
        <f t="shared" si="15"/>
        <v>0</v>
      </c>
      <c r="M56" s="61">
        <f t="shared" si="15"/>
        <v>0</v>
      </c>
      <c r="N56" s="61">
        <f t="shared" si="10"/>
        <v>734.25</v>
      </c>
    </row>
  </sheetData>
  <phoneticPr fontId="14" type="noConversion"/>
  <printOptions horizontalCentered="1" verticalCentered="1"/>
  <pageMargins left="0.25" right="0.25" top="0.25" bottom="0.25" header="0" footer="0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7AE8-774D-4BE8-BB65-5997663C170C}">
  <dimension ref="A1:O72"/>
  <sheetViews>
    <sheetView workbookViewId="0">
      <pane xSplit="1" ySplit="3" topLeftCell="I32" activePane="bottomRight" state="frozen"/>
      <selection pane="topRight" activeCell="B1" sqref="B1"/>
      <selection pane="bottomLeft" activeCell="A4" sqref="A4"/>
      <selection pane="bottomRight" activeCell="M53" sqref="M53"/>
    </sheetView>
  </sheetViews>
  <sheetFormatPr defaultColWidth="8.33203125" defaultRowHeight="15" x14ac:dyDescent="0.25"/>
  <cols>
    <col min="1" max="1" width="29.08203125" style="83" bestFit="1" customWidth="1"/>
    <col min="2" max="2" width="10.08203125" style="83" customWidth="1"/>
    <col min="3" max="3" width="9.75" style="83" customWidth="1"/>
    <col min="4" max="4" width="10.33203125" style="83" customWidth="1"/>
    <col min="5" max="5" width="9.9140625" style="83" customWidth="1"/>
    <col min="6" max="6" width="11" style="83" customWidth="1"/>
    <col min="7" max="8" width="10" style="83" customWidth="1"/>
    <col min="9" max="9" width="10.08203125" style="83" customWidth="1"/>
    <col min="10" max="10" width="10" style="83" customWidth="1"/>
    <col min="11" max="11" width="10.6640625" style="83" customWidth="1"/>
    <col min="12" max="12" width="10.08203125" style="83" customWidth="1"/>
    <col min="13" max="13" width="9.08203125" style="83" customWidth="1"/>
    <col min="14" max="14" width="11.9140625" style="83" customWidth="1"/>
    <col min="15" max="16384" width="8.33203125" style="83"/>
  </cols>
  <sheetData>
    <row r="1" spans="1:15" ht="15.6" x14ac:dyDescent="0.3">
      <c r="A1" s="99" t="s">
        <v>236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s="103" customFormat="1" ht="15.6" x14ac:dyDescent="0.3">
      <c r="A3" s="100"/>
      <c r="B3" s="101" t="s">
        <v>26</v>
      </c>
      <c r="C3" s="101" t="s">
        <v>27</v>
      </c>
      <c r="D3" s="101" t="s">
        <v>28</v>
      </c>
      <c r="E3" s="101" t="s">
        <v>29</v>
      </c>
      <c r="F3" s="101" t="s">
        <v>30</v>
      </c>
      <c r="G3" s="101" t="s">
        <v>31</v>
      </c>
      <c r="H3" s="102" t="s">
        <v>32</v>
      </c>
      <c r="I3" s="102" t="s">
        <v>33</v>
      </c>
      <c r="J3" s="102" t="s">
        <v>34</v>
      </c>
      <c r="K3" s="102" t="s">
        <v>35</v>
      </c>
      <c r="L3" s="102" t="s">
        <v>36</v>
      </c>
      <c r="M3" s="101" t="s">
        <v>37</v>
      </c>
      <c r="N3" s="101" t="s">
        <v>25</v>
      </c>
      <c r="O3" s="101" t="s">
        <v>38</v>
      </c>
    </row>
    <row r="4" spans="1:15" s="87" customFormat="1" x14ac:dyDescent="0.25">
      <c r="A4" s="85" t="s">
        <v>223</v>
      </c>
      <c r="B4" s="104">
        <v>840</v>
      </c>
      <c r="C4" s="105">
        <v>960</v>
      </c>
      <c r="D4" s="105">
        <v>480</v>
      </c>
      <c r="E4" s="105">
        <v>480</v>
      </c>
      <c r="F4" s="105">
        <v>1680</v>
      </c>
      <c r="G4" s="105">
        <v>1080</v>
      </c>
      <c r="H4" s="105">
        <v>1920</v>
      </c>
      <c r="I4" s="105">
        <v>1200</v>
      </c>
      <c r="J4" s="105">
        <v>600</v>
      </c>
      <c r="K4" s="105">
        <v>1200</v>
      </c>
      <c r="L4" s="105">
        <v>1080</v>
      </c>
      <c r="M4" s="105">
        <v>720</v>
      </c>
      <c r="N4" s="106">
        <f t="shared" ref="N4:N53" si="0">SUM(B4:M4)</f>
        <v>12240</v>
      </c>
      <c r="O4" s="86">
        <f t="shared" ref="O4:O35" si="1">N4/$N$53</f>
        <v>8.4061719433022927E-3</v>
      </c>
    </row>
    <row r="5" spans="1:15" s="87" customFormat="1" x14ac:dyDescent="0.25">
      <c r="A5" s="85" t="s">
        <v>222</v>
      </c>
      <c r="B5" s="105">
        <v>800</v>
      </c>
      <c r="C5" s="105">
        <v>800</v>
      </c>
      <c r="D5" s="105">
        <v>800</v>
      </c>
      <c r="E5" s="105">
        <v>500</v>
      </c>
      <c r="F5" s="105">
        <v>1800</v>
      </c>
      <c r="G5" s="105">
        <v>1100</v>
      </c>
      <c r="H5" s="105">
        <v>1300</v>
      </c>
      <c r="I5" s="105">
        <v>700</v>
      </c>
      <c r="J5" s="105">
        <v>1200</v>
      </c>
      <c r="K5" s="105">
        <v>400</v>
      </c>
      <c r="L5" s="105">
        <v>800</v>
      </c>
      <c r="M5" s="105">
        <v>400</v>
      </c>
      <c r="N5" s="106">
        <f t="shared" si="0"/>
        <v>10600</v>
      </c>
      <c r="O5" s="86">
        <f t="shared" si="1"/>
        <v>7.2798547875003519E-3</v>
      </c>
    </row>
    <row r="6" spans="1:15" s="87" customFormat="1" x14ac:dyDescent="0.25">
      <c r="A6" s="85" t="s">
        <v>214</v>
      </c>
      <c r="B6" s="105">
        <v>17836</v>
      </c>
      <c r="C6" s="105">
        <v>16268</v>
      </c>
      <c r="D6" s="105">
        <v>20776</v>
      </c>
      <c r="E6" s="105">
        <v>19600</v>
      </c>
      <c r="F6" s="105">
        <v>24500</v>
      </c>
      <c r="G6" s="105">
        <v>19404</v>
      </c>
      <c r="H6" s="105">
        <v>17836</v>
      </c>
      <c r="I6" s="105">
        <v>19208</v>
      </c>
      <c r="J6" s="105">
        <v>14896</v>
      </c>
      <c r="K6" s="105">
        <v>21364</v>
      </c>
      <c r="L6" s="105">
        <v>19404</v>
      </c>
      <c r="M6" s="105">
        <v>18424</v>
      </c>
      <c r="N6" s="106">
        <f t="shared" si="0"/>
        <v>229516</v>
      </c>
      <c r="O6" s="86">
        <f t="shared" si="1"/>
        <v>0.15762671239697459</v>
      </c>
    </row>
    <row r="7" spans="1:15" s="87" customFormat="1" x14ac:dyDescent="0.25">
      <c r="A7" s="85" t="s">
        <v>110</v>
      </c>
      <c r="B7" s="104">
        <v>0</v>
      </c>
      <c r="C7" s="104">
        <v>117</v>
      </c>
      <c r="D7" s="104">
        <v>117</v>
      </c>
      <c r="E7" s="104">
        <v>117</v>
      </c>
      <c r="F7" s="104">
        <v>0</v>
      </c>
      <c r="G7" s="104">
        <v>351</v>
      </c>
      <c r="H7" s="104">
        <v>234</v>
      </c>
      <c r="I7" s="104">
        <v>468</v>
      </c>
      <c r="J7" s="104">
        <v>468</v>
      </c>
      <c r="K7" s="104">
        <v>0</v>
      </c>
      <c r="L7" s="104">
        <v>117</v>
      </c>
      <c r="M7" s="104">
        <v>117</v>
      </c>
      <c r="N7" s="106">
        <f t="shared" si="0"/>
        <v>2106</v>
      </c>
      <c r="O7" s="86">
        <f t="shared" si="1"/>
        <v>1.4463560549505417E-3</v>
      </c>
    </row>
    <row r="8" spans="1:15" s="87" customFormat="1" x14ac:dyDescent="0.25">
      <c r="A8" s="85" t="s">
        <v>215</v>
      </c>
      <c r="B8" s="104">
        <v>16380</v>
      </c>
      <c r="C8" s="104">
        <v>18096</v>
      </c>
      <c r="D8" s="104">
        <v>20280</v>
      </c>
      <c r="E8" s="104">
        <v>21996</v>
      </c>
      <c r="F8" s="104">
        <v>25428</v>
      </c>
      <c r="G8" s="104">
        <v>19968</v>
      </c>
      <c r="H8" s="104">
        <v>21216</v>
      </c>
      <c r="I8" s="104">
        <v>17160</v>
      </c>
      <c r="J8" s="104">
        <v>19968</v>
      </c>
      <c r="K8" s="104">
        <v>18096</v>
      </c>
      <c r="L8" s="104">
        <v>19812</v>
      </c>
      <c r="M8" s="104">
        <v>17940</v>
      </c>
      <c r="N8" s="106">
        <f t="shared" si="0"/>
        <v>236340</v>
      </c>
      <c r="O8" s="86">
        <f t="shared" si="1"/>
        <v>0.16231329061111635</v>
      </c>
    </row>
    <row r="9" spans="1:15" s="87" customFormat="1" x14ac:dyDescent="0.25">
      <c r="A9" s="85" t="s">
        <v>216</v>
      </c>
      <c r="B9" s="104">
        <v>0</v>
      </c>
      <c r="C9" s="104">
        <v>0</v>
      </c>
      <c r="D9" s="104">
        <v>0</v>
      </c>
      <c r="E9" s="104">
        <v>0</v>
      </c>
      <c r="F9" s="104">
        <v>0</v>
      </c>
      <c r="G9" s="104">
        <v>0</v>
      </c>
      <c r="H9" s="104">
        <v>98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6">
        <f t="shared" si="0"/>
        <v>98</v>
      </c>
      <c r="O9" s="86">
        <f t="shared" si="1"/>
        <v>6.730431784670137E-5</v>
      </c>
    </row>
    <row r="10" spans="1:15" s="87" customFormat="1" x14ac:dyDescent="0.25">
      <c r="A10" s="85" t="s">
        <v>156</v>
      </c>
      <c r="B10" s="106">
        <v>0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f t="shared" si="0"/>
        <v>0</v>
      </c>
      <c r="O10" s="86">
        <f t="shared" si="1"/>
        <v>0</v>
      </c>
    </row>
    <row r="11" spans="1:15" s="87" customFormat="1" x14ac:dyDescent="0.25">
      <c r="A11" s="85" t="s">
        <v>184</v>
      </c>
      <c r="B11" s="106">
        <v>0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f t="shared" si="0"/>
        <v>0</v>
      </c>
      <c r="O11" s="86">
        <f t="shared" si="1"/>
        <v>0</v>
      </c>
    </row>
    <row r="12" spans="1:15" s="87" customFormat="1" x14ac:dyDescent="0.25">
      <c r="A12" s="85" t="s">
        <v>231</v>
      </c>
      <c r="B12" s="106">
        <v>3927</v>
      </c>
      <c r="C12" s="106">
        <v>4235</v>
      </c>
      <c r="D12" s="106">
        <v>5313</v>
      </c>
      <c r="E12" s="106">
        <v>5082</v>
      </c>
      <c r="F12" s="106">
        <v>6314</v>
      </c>
      <c r="G12" s="106">
        <v>8624</v>
      </c>
      <c r="H12" s="106">
        <v>7854</v>
      </c>
      <c r="I12" s="106">
        <v>7238</v>
      </c>
      <c r="J12" s="106">
        <v>6776</v>
      </c>
      <c r="K12" s="106">
        <v>6930</v>
      </c>
      <c r="L12" s="106">
        <v>4851</v>
      </c>
      <c r="M12" s="106">
        <v>4004</v>
      </c>
      <c r="N12" s="106">
        <f t="shared" si="0"/>
        <v>71148</v>
      </c>
      <c r="O12" s="86">
        <f t="shared" si="1"/>
        <v>4.8862934756705195E-2</v>
      </c>
    </row>
    <row r="13" spans="1:15" s="87" customFormat="1" x14ac:dyDescent="0.25">
      <c r="A13" s="85" t="s">
        <v>157</v>
      </c>
      <c r="B13" s="106">
        <v>0</v>
      </c>
      <c r="C13" s="106">
        <v>0</v>
      </c>
      <c r="D13" s="106">
        <v>0</v>
      </c>
      <c r="E13" s="106">
        <v>0</v>
      </c>
      <c r="F13" s="106">
        <v>6435</v>
      </c>
      <c r="G13" s="106">
        <v>14365</v>
      </c>
      <c r="H13" s="106">
        <v>24455</v>
      </c>
      <c r="I13" s="106">
        <v>20810</v>
      </c>
      <c r="J13" s="106">
        <v>14875</v>
      </c>
      <c r="K13" s="106">
        <v>0</v>
      </c>
      <c r="L13" s="106">
        <v>0</v>
      </c>
      <c r="M13" s="106">
        <v>0</v>
      </c>
      <c r="N13" s="106">
        <f t="shared" si="0"/>
        <v>80940</v>
      </c>
      <c r="O13" s="86">
        <f t="shared" si="1"/>
        <v>5.5587872311347028E-2</v>
      </c>
    </row>
    <row r="14" spans="1:15" s="87" customFormat="1" x14ac:dyDescent="0.25">
      <c r="A14" s="85" t="s">
        <v>180</v>
      </c>
      <c r="B14" s="106">
        <v>5120</v>
      </c>
      <c r="C14" s="106">
        <v>5716</v>
      </c>
      <c r="D14" s="106">
        <v>6816</v>
      </c>
      <c r="E14" s="106">
        <v>8028</v>
      </c>
      <c r="F14" s="106">
        <v>4896</v>
      </c>
      <c r="G14" s="106">
        <v>0</v>
      </c>
      <c r="H14" s="106">
        <v>0</v>
      </c>
      <c r="I14" s="106">
        <v>0</v>
      </c>
      <c r="J14" s="106">
        <v>0</v>
      </c>
      <c r="K14" s="106">
        <v>6892</v>
      </c>
      <c r="L14" s="106">
        <v>5748</v>
      </c>
      <c r="M14" s="106">
        <v>5700</v>
      </c>
      <c r="N14" s="106">
        <f t="shared" si="0"/>
        <v>48916</v>
      </c>
      <c r="O14" s="86">
        <f t="shared" si="1"/>
        <v>3.3594469508053511E-2</v>
      </c>
    </row>
    <row r="15" spans="1:15" s="87" customFormat="1" x14ac:dyDescent="0.25">
      <c r="A15" s="85" t="s">
        <v>113</v>
      </c>
      <c r="B15" s="106">
        <v>0</v>
      </c>
      <c r="C15" s="106">
        <v>0</v>
      </c>
      <c r="D15" s="106">
        <v>0</v>
      </c>
      <c r="E15" s="106">
        <v>0</v>
      </c>
      <c r="F15" s="106">
        <v>17580</v>
      </c>
      <c r="G15" s="106">
        <v>39780</v>
      </c>
      <c r="H15" s="106">
        <v>53355</v>
      </c>
      <c r="I15" s="106">
        <v>49290</v>
      </c>
      <c r="J15" s="106">
        <v>37065</v>
      </c>
      <c r="K15" s="106">
        <v>0</v>
      </c>
      <c r="L15" s="106">
        <v>0</v>
      </c>
      <c r="M15" s="106">
        <v>0</v>
      </c>
      <c r="N15" s="106">
        <f t="shared" si="0"/>
        <v>197070</v>
      </c>
      <c r="O15" s="86">
        <f t="shared" si="1"/>
        <v>0.13534348895968815</v>
      </c>
    </row>
    <row r="16" spans="1:15" s="87" customFormat="1" x14ac:dyDescent="0.25">
      <c r="A16" s="85" t="s">
        <v>179</v>
      </c>
      <c r="B16" s="106">
        <v>21696</v>
      </c>
      <c r="C16" s="106">
        <v>24432</v>
      </c>
      <c r="D16" s="106">
        <v>27636</v>
      </c>
      <c r="E16" s="106">
        <v>29100</v>
      </c>
      <c r="F16" s="106">
        <v>17700</v>
      </c>
      <c r="G16" s="106">
        <v>0</v>
      </c>
      <c r="H16" s="106">
        <v>0</v>
      </c>
      <c r="I16" s="106">
        <v>0</v>
      </c>
      <c r="J16" s="106">
        <v>0</v>
      </c>
      <c r="K16" s="106">
        <v>23688</v>
      </c>
      <c r="L16" s="106">
        <v>22524</v>
      </c>
      <c r="M16" s="106">
        <v>25356</v>
      </c>
      <c r="N16" s="106">
        <f t="shared" si="0"/>
        <v>192132</v>
      </c>
      <c r="O16" s="86">
        <f t="shared" si="1"/>
        <v>0.13195217547471863</v>
      </c>
    </row>
    <row r="17" spans="1:15" s="87" customFormat="1" x14ac:dyDescent="0.25">
      <c r="A17" s="85" t="s">
        <v>237</v>
      </c>
      <c r="B17" s="106">
        <v>0</v>
      </c>
      <c r="C17" s="106">
        <v>0</v>
      </c>
      <c r="D17" s="106">
        <v>0</v>
      </c>
      <c r="E17" s="106">
        <v>0</v>
      </c>
      <c r="F17" s="106">
        <v>120</v>
      </c>
      <c r="G17" s="106">
        <v>240</v>
      </c>
      <c r="H17" s="106">
        <v>240</v>
      </c>
      <c r="I17" s="106">
        <v>0</v>
      </c>
      <c r="J17" s="106">
        <v>120</v>
      </c>
      <c r="K17" s="106">
        <v>0</v>
      </c>
      <c r="L17" s="106">
        <v>0</v>
      </c>
      <c r="M17" s="106">
        <v>0</v>
      </c>
      <c r="N17" s="106">
        <f t="shared" si="0"/>
        <v>720</v>
      </c>
      <c r="O17" s="86">
        <f t="shared" si="1"/>
        <v>4.9448070254719376E-4</v>
      </c>
    </row>
    <row r="18" spans="1:15" s="87" customFormat="1" x14ac:dyDescent="0.25">
      <c r="A18" s="85" t="s">
        <v>114</v>
      </c>
      <c r="B18" s="106">
        <v>500</v>
      </c>
      <c r="C18" s="106">
        <v>500</v>
      </c>
      <c r="D18" s="106">
        <v>500</v>
      </c>
      <c r="E18" s="106">
        <v>1240</v>
      </c>
      <c r="F18" s="106">
        <v>0</v>
      </c>
      <c r="G18" s="106">
        <v>0</v>
      </c>
      <c r="H18" s="106">
        <v>500</v>
      </c>
      <c r="I18" s="106">
        <v>1520</v>
      </c>
      <c r="J18" s="106">
        <v>23</v>
      </c>
      <c r="K18" s="106">
        <v>1500</v>
      </c>
      <c r="L18" s="106">
        <v>1091</v>
      </c>
      <c r="M18" s="106">
        <v>0</v>
      </c>
      <c r="N18" s="106">
        <f t="shared" si="0"/>
        <v>7374</v>
      </c>
      <c r="O18" s="86">
        <f t="shared" si="1"/>
        <v>5.064306528587509E-3</v>
      </c>
    </row>
    <row r="19" spans="1:15" s="87" customFormat="1" x14ac:dyDescent="0.25">
      <c r="A19" s="85" t="s">
        <v>7</v>
      </c>
      <c r="B19" s="106">
        <v>0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f t="shared" si="0"/>
        <v>0</v>
      </c>
      <c r="O19" s="86">
        <f t="shared" si="1"/>
        <v>0</v>
      </c>
    </row>
    <row r="20" spans="1:15" s="87" customFormat="1" x14ac:dyDescent="0.25">
      <c r="A20" s="85" t="s">
        <v>158</v>
      </c>
      <c r="B20" s="106">
        <v>0</v>
      </c>
      <c r="C20" s="106">
        <v>0</v>
      </c>
      <c r="D20" s="106">
        <v>0</v>
      </c>
      <c r="E20" s="106">
        <v>0</v>
      </c>
      <c r="F20" s="106">
        <v>70</v>
      </c>
      <c r="G20" s="106">
        <v>170</v>
      </c>
      <c r="H20" s="106">
        <v>370</v>
      </c>
      <c r="I20" s="106">
        <v>460</v>
      </c>
      <c r="J20" s="106">
        <v>310</v>
      </c>
      <c r="K20" s="106">
        <v>0</v>
      </c>
      <c r="L20" s="106">
        <v>0</v>
      </c>
      <c r="M20" s="106">
        <v>0</v>
      </c>
      <c r="N20" s="106">
        <f t="shared" si="0"/>
        <v>1380</v>
      </c>
      <c r="O20" s="86">
        <f t="shared" si="1"/>
        <v>9.4775467988212128E-4</v>
      </c>
    </row>
    <row r="21" spans="1:15" s="87" customFormat="1" x14ac:dyDescent="0.25">
      <c r="A21" s="85" t="s">
        <v>185</v>
      </c>
      <c r="B21" s="106">
        <v>14</v>
      </c>
      <c r="C21" s="106">
        <v>56</v>
      </c>
      <c r="D21" s="106">
        <v>28</v>
      </c>
      <c r="E21" s="106">
        <v>28</v>
      </c>
      <c r="F21" s="106">
        <v>21</v>
      </c>
      <c r="G21" s="106">
        <v>0</v>
      </c>
      <c r="H21" s="106">
        <v>0</v>
      </c>
      <c r="I21" s="106">
        <v>0</v>
      </c>
      <c r="J21" s="106">
        <v>0</v>
      </c>
      <c r="K21" s="106">
        <v>91</v>
      </c>
      <c r="L21" s="106">
        <v>28</v>
      </c>
      <c r="M21" s="106">
        <v>21</v>
      </c>
      <c r="N21" s="106">
        <f t="shared" si="0"/>
        <v>287</v>
      </c>
      <c r="O21" s="86">
        <f t="shared" si="1"/>
        <v>1.9710550226533972E-4</v>
      </c>
    </row>
    <row r="22" spans="1:15" s="87" customFormat="1" x14ac:dyDescent="0.25">
      <c r="A22" s="85" t="s">
        <v>10</v>
      </c>
      <c r="B22" s="106">
        <v>104.5</v>
      </c>
      <c r="C22" s="106">
        <v>104.5</v>
      </c>
      <c r="D22" s="106">
        <v>121</v>
      </c>
      <c r="E22" s="106">
        <v>82.5</v>
      </c>
      <c r="F22" s="106">
        <v>110</v>
      </c>
      <c r="G22" s="106">
        <v>82.5</v>
      </c>
      <c r="H22" s="106">
        <v>0</v>
      </c>
      <c r="I22" s="106">
        <v>0</v>
      </c>
      <c r="J22" s="106">
        <v>104.5</v>
      </c>
      <c r="K22" s="106">
        <v>115.5</v>
      </c>
      <c r="L22" s="106">
        <v>99</v>
      </c>
      <c r="M22" s="106">
        <v>66</v>
      </c>
      <c r="N22" s="106">
        <f>SUM(B22:M22)</f>
        <v>990</v>
      </c>
      <c r="O22" s="86">
        <f t="shared" si="1"/>
        <v>6.799109660023914E-4</v>
      </c>
    </row>
    <row r="23" spans="1:15" s="87" customFormat="1" x14ac:dyDescent="0.25">
      <c r="A23" s="85" t="s">
        <v>11</v>
      </c>
      <c r="B23" s="106">
        <v>16</v>
      </c>
      <c r="C23" s="106">
        <v>0</v>
      </c>
      <c r="D23" s="106">
        <v>24</v>
      </c>
      <c r="E23" s="106">
        <v>24</v>
      </c>
      <c r="F23" s="106">
        <v>32</v>
      </c>
      <c r="G23" s="106">
        <v>88</v>
      </c>
      <c r="H23" s="106">
        <v>40</v>
      </c>
      <c r="I23" s="106">
        <v>32</v>
      </c>
      <c r="J23" s="106">
        <v>8</v>
      </c>
      <c r="K23" s="106">
        <v>56</v>
      </c>
      <c r="L23" s="106">
        <v>16</v>
      </c>
      <c r="M23" s="106">
        <v>0</v>
      </c>
      <c r="N23" s="106">
        <f t="shared" si="0"/>
        <v>336</v>
      </c>
      <c r="O23" s="86">
        <f t="shared" si="1"/>
        <v>2.3075766118869041E-4</v>
      </c>
    </row>
    <row r="24" spans="1:15" s="87" customFormat="1" x14ac:dyDescent="0.25">
      <c r="A24" s="85" t="s">
        <v>159</v>
      </c>
      <c r="B24" s="106">
        <v>0</v>
      </c>
      <c r="C24" s="106">
        <v>0</v>
      </c>
      <c r="D24" s="106">
        <v>0</v>
      </c>
      <c r="E24" s="106">
        <v>0</v>
      </c>
      <c r="F24" s="106">
        <v>3636</v>
      </c>
      <c r="G24" s="106">
        <v>7644</v>
      </c>
      <c r="H24" s="106">
        <v>10824</v>
      </c>
      <c r="I24" s="106">
        <v>11460</v>
      </c>
      <c r="J24" s="106">
        <v>8724</v>
      </c>
      <c r="K24" s="106">
        <v>0</v>
      </c>
      <c r="L24" s="106">
        <v>0</v>
      </c>
      <c r="M24" s="106">
        <v>0</v>
      </c>
      <c r="N24" s="106">
        <f>SUM(B24:M24)</f>
        <v>42288</v>
      </c>
      <c r="O24" s="86">
        <f t="shared" si="1"/>
        <v>2.9042499929605177E-2</v>
      </c>
    </row>
    <row r="25" spans="1:15" s="87" customFormat="1" x14ac:dyDescent="0.25">
      <c r="A25" s="85" t="s">
        <v>181</v>
      </c>
      <c r="B25" s="106">
        <v>4810</v>
      </c>
      <c r="C25" s="106">
        <v>4620</v>
      </c>
      <c r="D25" s="106">
        <v>5710</v>
      </c>
      <c r="E25" s="106">
        <v>6450</v>
      </c>
      <c r="F25" s="106">
        <v>3850</v>
      </c>
      <c r="G25" s="106">
        <v>0</v>
      </c>
      <c r="H25" s="106">
        <v>0</v>
      </c>
      <c r="I25" s="106">
        <v>0</v>
      </c>
      <c r="J25" s="106">
        <v>0</v>
      </c>
      <c r="K25" s="106">
        <v>6570</v>
      </c>
      <c r="L25" s="106">
        <v>5690</v>
      </c>
      <c r="M25" s="106">
        <v>5870</v>
      </c>
      <c r="N25" s="106">
        <f>SUM(B25:M25)</f>
        <v>43570</v>
      </c>
      <c r="O25" s="86">
        <f t="shared" si="1"/>
        <v>2.9922950291640597E-2</v>
      </c>
    </row>
    <row r="26" spans="1:15" s="87" customFormat="1" x14ac:dyDescent="0.25">
      <c r="A26" s="85" t="s">
        <v>211</v>
      </c>
      <c r="B26" s="106">
        <v>0</v>
      </c>
      <c r="C26" s="106">
        <v>0</v>
      </c>
      <c r="D26" s="106">
        <v>0</v>
      </c>
      <c r="E26" s="106">
        <v>0</v>
      </c>
      <c r="F26" s="106">
        <v>2031</v>
      </c>
      <c r="G26" s="106">
        <v>4299</v>
      </c>
      <c r="H26" s="106">
        <v>9090</v>
      </c>
      <c r="I26" s="106">
        <v>7803</v>
      </c>
      <c r="J26" s="106">
        <v>4377</v>
      </c>
      <c r="K26" s="106">
        <v>0</v>
      </c>
      <c r="L26" s="106">
        <v>0</v>
      </c>
      <c r="M26" s="106">
        <v>0</v>
      </c>
      <c r="N26" s="106">
        <f>SUM(B26:M26)</f>
        <v>27600</v>
      </c>
      <c r="O26" s="86">
        <f t="shared" si="1"/>
        <v>1.8955093597642424E-2</v>
      </c>
    </row>
    <row r="27" spans="1:15" s="87" customFormat="1" x14ac:dyDescent="0.25">
      <c r="A27" s="85" t="s">
        <v>212</v>
      </c>
      <c r="B27" s="106">
        <v>976</v>
      </c>
      <c r="C27" s="106">
        <v>956</v>
      </c>
      <c r="D27" s="106">
        <v>1092</v>
      </c>
      <c r="E27" s="106">
        <v>2094</v>
      </c>
      <c r="F27" s="106">
        <v>946</v>
      </c>
      <c r="G27" s="106">
        <v>0</v>
      </c>
      <c r="H27" s="106">
        <v>0</v>
      </c>
      <c r="I27" s="106">
        <v>0</v>
      </c>
      <c r="J27" s="106">
        <v>0</v>
      </c>
      <c r="K27" s="106">
        <v>1684</v>
      </c>
      <c r="L27" s="106">
        <v>1188</v>
      </c>
      <c r="M27" s="106">
        <v>1416</v>
      </c>
      <c r="N27" s="106">
        <f>SUM(B27:M27)</f>
        <v>10352</v>
      </c>
      <c r="O27" s="86">
        <f t="shared" si="1"/>
        <v>7.1095336566229855E-3</v>
      </c>
    </row>
    <row r="28" spans="1:15" s="87" customFormat="1" x14ac:dyDescent="0.25">
      <c r="A28" s="85" t="s">
        <v>186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6">
        <v>45</v>
      </c>
      <c r="H28" s="106">
        <v>63</v>
      </c>
      <c r="I28" s="106">
        <v>63</v>
      </c>
      <c r="J28" s="106">
        <v>45</v>
      </c>
      <c r="K28" s="106">
        <v>0</v>
      </c>
      <c r="L28" s="106">
        <v>0</v>
      </c>
      <c r="M28" s="106">
        <v>0</v>
      </c>
      <c r="N28" s="106">
        <f t="shared" si="0"/>
        <v>216</v>
      </c>
      <c r="O28" s="86">
        <f t="shared" si="1"/>
        <v>1.4834421076415812E-4</v>
      </c>
    </row>
    <row r="29" spans="1:15" s="87" customFormat="1" x14ac:dyDescent="0.25">
      <c r="A29" s="85" t="s">
        <v>182</v>
      </c>
      <c r="B29" s="106">
        <v>0</v>
      </c>
      <c r="C29" s="106">
        <v>12</v>
      </c>
      <c r="D29" s="106">
        <v>0</v>
      </c>
      <c r="E29" s="106">
        <v>12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18</v>
      </c>
      <c r="L29" s="106">
        <v>0</v>
      </c>
      <c r="M29" s="106">
        <v>0</v>
      </c>
      <c r="N29" s="106">
        <f t="shared" si="0"/>
        <v>42</v>
      </c>
      <c r="O29" s="86">
        <f t="shared" si="1"/>
        <v>2.8844707648586302E-5</v>
      </c>
    </row>
    <row r="30" spans="1:15" s="87" customFormat="1" x14ac:dyDescent="0.25">
      <c r="A30" s="85" t="s">
        <v>234</v>
      </c>
      <c r="B30" s="106">
        <v>2944</v>
      </c>
      <c r="C30" s="106">
        <v>2254</v>
      </c>
      <c r="D30" s="106">
        <v>3450</v>
      </c>
      <c r="E30" s="106">
        <v>3082</v>
      </c>
      <c r="F30" s="106">
        <v>4646</v>
      </c>
      <c r="G30" s="106">
        <v>4508</v>
      </c>
      <c r="H30" s="106">
        <v>5796</v>
      </c>
      <c r="I30" s="106">
        <v>4462</v>
      </c>
      <c r="J30" s="106">
        <v>4324</v>
      </c>
      <c r="K30" s="106">
        <v>4048</v>
      </c>
      <c r="L30" s="106">
        <v>2852</v>
      </c>
      <c r="M30" s="106">
        <v>2714</v>
      </c>
      <c r="N30" s="106">
        <f>SUM(B30:M30)</f>
        <v>45080</v>
      </c>
      <c r="O30" s="86">
        <f t="shared" si="1"/>
        <v>3.0959986209482628E-2</v>
      </c>
    </row>
    <row r="31" spans="1:15" s="87" customFormat="1" x14ac:dyDescent="0.25">
      <c r="A31" s="85" t="s">
        <v>162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0</v>
      </c>
      <c r="N31" s="106">
        <f t="shared" si="0"/>
        <v>0</v>
      </c>
      <c r="O31" s="86">
        <f t="shared" si="1"/>
        <v>0</v>
      </c>
    </row>
    <row r="32" spans="1:15" s="87" customFormat="1" x14ac:dyDescent="0.25">
      <c r="A32" s="85" t="s">
        <v>183</v>
      </c>
      <c r="B32" s="106">
        <v>0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  <c r="N32" s="106">
        <f t="shared" si="0"/>
        <v>0</v>
      </c>
      <c r="O32" s="86">
        <f t="shared" si="1"/>
        <v>0</v>
      </c>
    </row>
    <row r="33" spans="1:15" s="87" customFormat="1" x14ac:dyDescent="0.25">
      <c r="A33" s="85" t="s">
        <v>196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  <c r="N33" s="106">
        <f t="shared" si="0"/>
        <v>0</v>
      </c>
      <c r="O33" s="86">
        <f t="shared" si="1"/>
        <v>0</v>
      </c>
    </row>
    <row r="34" spans="1:15" s="87" customFormat="1" x14ac:dyDescent="0.25">
      <c r="A34" s="85" t="s">
        <v>163</v>
      </c>
      <c r="B34" s="106">
        <v>0</v>
      </c>
      <c r="C34" s="106">
        <v>0</v>
      </c>
      <c r="D34" s="106">
        <v>0</v>
      </c>
      <c r="E34" s="106">
        <v>0</v>
      </c>
      <c r="F34" s="106">
        <v>2163</v>
      </c>
      <c r="G34" s="106">
        <v>5817</v>
      </c>
      <c r="H34" s="106">
        <v>4452</v>
      </c>
      <c r="I34" s="106">
        <v>5880</v>
      </c>
      <c r="J34" s="106">
        <v>4410</v>
      </c>
      <c r="K34" s="106">
        <v>0</v>
      </c>
      <c r="L34" s="106">
        <v>0</v>
      </c>
      <c r="M34" s="106">
        <v>0</v>
      </c>
      <c r="N34" s="106">
        <f t="shared" si="0"/>
        <v>22722</v>
      </c>
      <c r="O34" s="86">
        <f t="shared" si="1"/>
        <v>1.5604986837885188E-2</v>
      </c>
    </row>
    <row r="35" spans="1:15" s="87" customFormat="1" x14ac:dyDescent="0.25">
      <c r="A35" s="85" t="s">
        <v>187</v>
      </c>
      <c r="B35" s="106">
        <v>3281</v>
      </c>
      <c r="C35" s="106">
        <v>3281</v>
      </c>
      <c r="D35" s="106">
        <v>3655</v>
      </c>
      <c r="E35" s="106">
        <v>3298</v>
      </c>
      <c r="F35" s="106">
        <v>2414</v>
      </c>
      <c r="G35" s="106">
        <v>0</v>
      </c>
      <c r="H35" s="106">
        <v>0</v>
      </c>
      <c r="I35" s="106">
        <v>0</v>
      </c>
      <c r="J35" s="106">
        <v>0</v>
      </c>
      <c r="K35" s="106">
        <v>3417</v>
      </c>
      <c r="L35" s="106">
        <v>3434</v>
      </c>
      <c r="M35" s="106">
        <v>2754</v>
      </c>
      <c r="N35" s="106">
        <f t="shared" si="0"/>
        <v>25534</v>
      </c>
      <c r="O35" s="86">
        <f t="shared" si="1"/>
        <v>1.7536208692833396E-2</v>
      </c>
    </row>
    <row r="36" spans="1:15" s="87" customFormat="1" x14ac:dyDescent="0.25">
      <c r="A36" s="85" t="s">
        <v>164</v>
      </c>
      <c r="B36" s="106">
        <v>0</v>
      </c>
      <c r="C36" s="106">
        <v>0</v>
      </c>
      <c r="D36" s="106">
        <v>0</v>
      </c>
      <c r="E36" s="106">
        <v>0</v>
      </c>
      <c r="F36" s="106">
        <v>990</v>
      </c>
      <c r="G36" s="106">
        <v>3870</v>
      </c>
      <c r="H36" s="106">
        <v>2970</v>
      </c>
      <c r="I36" s="106">
        <v>3090</v>
      </c>
      <c r="J36" s="106">
        <v>2160</v>
      </c>
      <c r="K36" s="106">
        <v>0</v>
      </c>
      <c r="L36" s="106">
        <v>0</v>
      </c>
      <c r="M36" s="106">
        <v>0</v>
      </c>
      <c r="N36" s="106">
        <f t="shared" si="0"/>
        <v>13080</v>
      </c>
      <c r="O36" s="86">
        <f t="shared" ref="O36:O53" si="2">N36/$N$53</f>
        <v>8.9830660962740196E-3</v>
      </c>
    </row>
    <row r="37" spans="1:15" s="87" customFormat="1" x14ac:dyDescent="0.25">
      <c r="A37" s="85" t="s">
        <v>188</v>
      </c>
      <c r="B37" s="106">
        <v>1525</v>
      </c>
      <c r="C37" s="106">
        <v>2100</v>
      </c>
      <c r="D37" s="106">
        <v>2000</v>
      </c>
      <c r="E37" s="106">
        <v>1825</v>
      </c>
      <c r="F37" s="106">
        <v>1425</v>
      </c>
      <c r="G37" s="106">
        <v>0</v>
      </c>
      <c r="H37" s="106">
        <v>0</v>
      </c>
      <c r="I37" s="106">
        <v>0</v>
      </c>
      <c r="J37" s="106">
        <v>0</v>
      </c>
      <c r="K37" s="106">
        <v>1275</v>
      </c>
      <c r="L37" s="106">
        <v>2825</v>
      </c>
      <c r="M37" s="106">
        <v>1475</v>
      </c>
      <c r="N37" s="106">
        <f t="shared" si="0"/>
        <v>14450</v>
      </c>
      <c r="O37" s="86">
        <f t="shared" si="2"/>
        <v>9.9239529886207632E-3</v>
      </c>
    </row>
    <row r="38" spans="1:15" s="87" customFormat="1" x14ac:dyDescent="0.25">
      <c r="A38" s="85" t="s">
        <v>165</v>
      </c>
      <c r="B38" s="106">
        <v>0</v>
      </c>
      <c r="C38" s="106">
        <v>0</v>
      </c>
      <c r="D38" s="106">
        <v>0</v>
      </c>
      <c r="E38" s="106">
        <v>0</v>
      </c>
      <c r="F38" s="106">
        <v>1833</v>
      </c>
      <c r="G38" s="106">
        <v>4758</v>
      </c>
      <c r="H38" s="106">
        <v>4407</v>
      </c>
      <c r="I38" s="106">
        <v>4134</v>
      </c>
      <c r="J38" s="106">
        <v>3978</v>
      </c>
      <c r="K38" s="106">
        <v>0</v>
      </c>
      <c r="L38" s="106">
        <v>0</v>
      </c>
      <c r="M38" s="106">
        <v>0</v>
      </c>
      <c r="N38" s="106">
        <f t="shared" si="0"/>
        <v>19110</v>
      </c>
      <c r="O38" s="86">
        <f t="shared" si="2"/>
        <v>1.3124341980106766E-2</v>
      </c>
    </row>
    <row r="39" spans="1:15" s="87" customFormat="1" x14ac:dyDescent="0.25">
      <c r="A39" s="85" t="s">
        <v>189</v>
      </c>
      <c r="B39" s="106">
        <v>1155</v>
      </c>
      <c r="C39" s="106">
        <v>2244</v>
      </c>
      <c r="D39" s="106">
        <v>2706</v>
      </c>
      <c r="E39" s="106">
        <v>3234</v>
      </c>
      <c r="F39" s="106">
        <v>2178</v>
      </c>
      <c r="G39" s="106">
        <v>0</v>
      </c>
      <c r="H39" s="106">
        <v>0</v>
      </c>
      <c r="I39" s="106">
        <v>0</v>
      </c>
      <c r="J39" s="106">
        <v>0</v>
      </c>
      <c r="K39" s="106">
        <v>3234</v>
      </c>
      <c r="L39" s="106">
        <v>2739</v>
      </c>
      <c r="M39" s="106">
        <v>1716</v>
      </c>
      <c r="N39" s="106">
        <f t="shared" si="0"/>
        <v>19206</v>
      </c>
      <c r="O39" s="86">
        <f t="shared" si="2"/>
        <v>1.3190272740446393E-2</v>
      </c>
    </row>
    <row r="40" spans="1:15" s="87" customFormat="1" x14ac:dyDescent="0.25">
      <c r="A40" s="85" t="s">
        <v>166</v>
      </c>
      <c r="B40" s="106">
        <v>0</v>
      </c>
      <c r="C40" s="106">
        <v>0</v>
      </c>
      <c r="D40" s="106">
        <v>0</v>
      </c>
      <c r="E40" s="106">
        <v>0</v>
      </c>
      <c r="F40" s="106">
        <v>1581</v>
      </c>
      <c r="G40" s="106">
        <v>4641</v>
      </c>
      <c r="H40" s="106">
        <v>4335</v>
      </c>
      <c r="I40" s="106">
        <v>4794</v>
      </c>
      <c r="J40" s="106">
        <v>3672</v>
      </c>
      <c r="K40" s="106">
        <v>0</v>
      </c>
      <c r="L40" s="106">
        <v>0</v>
      </c>
      <c r="M40" s="106">
        <v>0</v>
      </c>
      <c r="N40" s="106">
        <f t="shared" si="0"/>
        <v>19023</v>
      </c>
      <c r="O40" s="86">
        <f t="shared" si="2"/>
        <v>1.306459222854898E-2</v>
      </c>
    </row>
    <row r="41" spans="1:15" s="87" customFormat="1" x14ac:dyDescent="0.25">
      <c r="A41" s="85" t="s">
        <v>190</v>
      </c>
      <c r="B41" s="106">
        <v>1554</v>
      </c>
      <c r="C41" s="106">
        <v>1974</v>
      </c>
      <c r="D41" s="106">
        <v>2478</v>
      </c>
      <c r="E41" s="106">
        <v>2226</v>
      </c>
      <c r="F41" s="106">
        <v>1848</v>
      </c>
      <c r="G41" s="106">
        <v>0</v>
      </c>
      <c r="H41" s="106">
        <v>0</v>
      </c>
      <c r="I41" s="106">
        <v>0</v>
      </c>
      <c r="J41" s="106">
        <v>0</v>
      </c>
      <c r="K41" s="106">
        <v>3486</v>
      </c>
      <c r="L41" s="106">
        <v>2394</v>
      </c>
      <c r="M41" s="106">
        <v>1806</v>
      </c>
      <c r="N41" s="106">
        <f t="shared" si="0"/>
        <v>17766</v>
      </c>
      <c r="O41" s="86">
        <f t="shared" si="2"/>
        <v>1.2201311335352004E-2</v>
      </c>
    </row>
    <row r="42" spans="1:15" s="87" customFormat="1" x14ac:dyDescent="0.25">
      <c r="A42" s="85" t="s">
        <v>167</v>
      </c>
      <c r="B42" s="106">
        <v>0</v>
      </c>
      <c r="C42" s="106">
        <v>0</v>
      </c>
      <c r="D42" s="106">
        <v>0</v>
      </c>
      <c r="E42" s="106">
        <v>0</v>
      </c>
      <c r="F42" s="106">
        <v>832</v>
      </c>
      <c r="G42" s="106">
        <v>2240</v>
      </c>
      <c r="H42" s="106">
        <v>2240</v>
      </c>
      <c r="I42" s="106">
        <v>2880</v>
      </c>
      <c r="J42" s="106">
        <v>1664</v>
      </c>
      <c r="K42" s="106">
        <v>0</v>
      </c>
      <c r="L42" s="106">
        <v>0</v>
      </c>
      <c r="M42" s="106">
        <v>0</v>
      </c>
      <c r="N42" s="106">
        <f t="shared" si="0"/>
        <v>9856</v>
      </c>
      <c r="O42" s="86">
        <f t="shared" si="2"/>
        <v>6.7688913948682518E-3</v>
      </c>
    </row>
    <row r="43" spans="1:15" s="87" customFormat="1" x14ac:dyDescent="0.25">
      <c r="A43" s="85" t="s">
        <v>191</v>
      </c>
      <c r="B43" s="106">
        <v>1196</v>
      </c>
      <c r="C43" s="106">
        <v>1040</v>
      </c>
      <c r="D43" s="106">
        <v>1716</v>
      </c>
      <c r="E43" s="106">
        <v>936</v>
      </c>
      <c r="F43" s="106">
        <v>1040</v>
      </c>
      <c r="G43" s="106">
        <v>0</v>
      </c>
      <c r="H43" s="106">
        <v>0</v>
      </c>
      <c r="I43" s="106">
        <v>0</v>
      </c>
      <c r="J43" s="106">
        <v>0</v>
      </c>
      <c r="K43" s="106">
        <v>1300</v>
      </c>
      <c r="L43" s="106">
        <v>780</v>
      </c>
      <c r="M43" s="106">
        <v>572</v>
      </c>
      <c r="N43" s="106">
        <f t="shared" si="0"/>
        <v>8580</v>
      </c>
      <c r="O43" s="86">
        <f t="shared" si="2"/>
        <v>5.8925617053540583E-3</v>
      </c>
    </row>
    <row r="44" spans="1:15" s="87" customFormat="1" x14ac:dyDescent="0.25">
      <c r="A44" s="85" t="s">
        <v>168</v>
      </c>
      <c r="B44" s="106">
        <v>0</v>
      </c>
      <c r="C44" s="106">
        <v>0</v>
      </c>
      <c r="D44" s="106">
        <v>0</v>
      </c>
      <c r="E44" s="106">
        <v>0</v>
      </c>
      <c r="F44" s="106">
        <v>468</v>
      </c>
      <c r="G44" s="106">
        <v>1326</v>
      </c>
      <c r="H44" s="106">
        <v>1716</v>
      </c>
      <c r="I44" s="106">
        <v>2340</v>
      </c>
      <c r="J44" s="106">
        <v>1248</v>
      </c>
      <c r="K44" s="106">
        <v>0</v>
      </c>
      <c r="L44" s="106">
        <v>0</v>
      </c>
      <c r="M44" s="106">
        <v>0</v>
      </c>
      <c r="N44" s="106">
        <f t="shared" si="0"/>
        <v>7098</v>
      </c>
      <c r="O44" s="86">
        <f t="shared" si="2"/>
        <v>4.8747555926110849E-3</v>
      </c>
    </row>
    <row r="45" spans="1:15" s="87" customFormat="1" x14ac:dyDescent="0.25">
      <c r="A45" s="85" t="s">
        <v>192</v>
      </c>
      <c r="B45" s="106">
        <v>448</v>
      </c>
      <c r="C45" s="106">
        <v>576</v>
      </c>
      <c r="D45" s="106">
        <v>704</v>
      </c>
      <c r="E45" s="106">
        <v>576</v>
      </c>
      <c r="F45" s="106">
        <v>576</v>
      </c>
      <c r="G45" s="106">
        <v>0</v>
      </c>
      <c r="H45" s="106">
        <v>0</v>
      </c>
      <c r="I45" s="106">
        <v>0</v>
      </c>
      <c r="J45" s="106">
        <v>0</v>
      </c>
      <c r="K45" s="106">
        <v>1088</v>
      </c>
      <c r="L45" s="106">
        <v>576</v>
      </c>
      <c r="M45" s="106">
        <v>448</v>
      </c>
      <c r="N45" s="106">
        <f t="shared" si="0"/>
        <v>4992</v>
      </c>
      <c r="O45" s="86">
        <f t="shared" si="2"/>
        <v>3.4283995376605432E-3</v>
      </c>
    </row>
    <row r="46" spans="1:15" s="87" customFormat="1" x14ac:dyDescent="0.25">
      <c r="A46" s="85" t="s">
        <v>169</v>
      </c>
      <c r="B46" s="106">
        <v>0</v>
      </c>
      <c r="C46" s="106">
        <v>0</v>
      </c>
      <c r="D46" s="106">
        <v>0</v>
      </c>
      <c r="E46" s="106">
        <v>0</v>
      </c>
      <c r="F46" s="106">
        <v>282</v>
      </c>
      <c r="G46" s="106">
        <v>282</v>
      </c>
      <c r="H46" s="106">
        <v>752</v>
      </c>
      <c r="I46" s="106">
        <v>658</v>
      </c>
      <c r="J46" s="106">
        <v>376</v>
      </c>
      <c r="K46" s="106">
        <v>0</v>
      </c>
      <c r="L46" s="106">
        <v>0</v>
      </c>
      <c r="M46" s="106">
        <v>0</v>
      </c>
      <c r="N46" s="106">
        <f t="shared" si="0"/>
        <v>2350</v>
      </c>
      <c r="O46" s="86">
        <f t="shared" si="2"/>
        <v>1.6139300708137574E-3</v>
      </c>
    </row>
    <row r="47" spans="1:15" s="87" customFormat="1" x14ac:dyDescent="0.25">
      <c r="A47" s="85" t="s">
        <v>193</v>
      </c>
      <c r="B47" s="106">
        <v>77</v>
      </c>
      <c r="C47" s="106">
        <v>0</v>
      </c>
      <c r="D47" s="106">
        <v>308</v>
      </c>
      <c r="E47" s="106">
        <v>308</v>
      </c>
      <c r="F47" s="106">
        <v>154</v>
      </c>
      <c r="G47" s="106">
        <v>0</v>
      </c>
      <c r="H47" s="106">
        <v>0</v>
      </c>
      <c r="I47" s="106">
        <v>0</v>
      </c>
      <c r="J47" s="106">
        <v>0</v>
      </c>
      <c r="K47" s="106">
        <v>462</v>
      </c>
      <c r="L47" s="106">
        <v>231</v>
      </c>
      <c r="M47" s="106">
        <v>77</v>
      </c>
      <c r="N47" s="106">
        <f t="shared" si="0"/>
        <v>1617</v>
      </c>
      <c r="O47" s="86">
        <f t="shared" si="2"/>
        <v>1.1105212444705726E-3</v>
      </c>
    </row>
    <row r="48" spans="1:15" s="87" customFormat="1" x14ac:dyDescent="0.25">
      <c r="A48" s="85" t="s">
        <v>170</v>
      </c>
      <c r="B48" s="106">
        <v>0</v>
      </c>
      <c r="C48" s="106">
        <v>0</v>
      </c>
      <c r="D48" s="106">
        <v>0</v>
      </c>
      <c r="E48" s="106">
        <v>0</v>
      </c>
      <c r="F48" s="106">
        <v>218</v>
      </c>
      <c r="G48" s="106">
        <v>327</v>
      </c>
      <c r="H48" s="106">
        <v>654</v>
      </c>
      <c r="I48" s="106">
        <v>327</v>
      </c>
      <c r="J48" s="106">
        <v>109</v>
      </c>
      <c r="K48" s="106">
        <v>0</v>
      </c>
      <c r="L48" s="106">
        <v>0</v>
      </c>
      <c r="M48" s="106">
        <v>0</v>
      </c>
      <c r="N48" s="106">
        <f t="shared" si="0"/>
        <v>1635</v>
      </c>
      <c r="O48" s="86">
        <f t="shared" si="2"/>
        <v>1.1228832620342525E-3</v>
      </c>
    </row>
    <row r="49" spans="1:15" s="87" customFormat="1" x14ac:dyDescent="0.25">
      <c r="A49" s="85" t="s">
        <v>194</v>
      </c>
      <c r="B49" s="106">
        <v>90</v>
      </c>
      <c r="C49" s="106">
        <v>90</v>
      </c>
      <c r="D49" s="106">
        <v>270</v>
      </c>
      <c r="E49" s="106">
        <v>0</v>
      </c>
      <c r="F49" s="106">
        <v>270</v>
      </c>
      <c r="G49" s="106">
        <v>0</v>
      </c>
      <c r="H49" s="106">
        <v>0</v>
      </c>
      <c r="I49" s="106">
        <v>0</v>
      </c>
      <c r="J49" s="106">
        <v>0</v>
      </c>
      <c r="K49" s="106">
        <v>540</v>
      </c>
      <c r="L49" s="106">
        <v>270</v>
      </c>
      <c r="M49" s="106">
        <v>0</v>
      </c>
      <c r="N49" s="106">
        <f t="shared" si="0"/>
        <v>1530</v>
      </c>
      <c r="O49" s="86">
        <f t="shared" si="2"/>
        <v>1.0507714929127866E-3</v>
      </c>
    </row>
    <row r="50" spans="1:15" s="87" customFormat="1" x14ac:dyDescent="0.25">
      <c r="A50" s="85" t="s">
        <v>171</v>
      </c>
      <c r="B50" s="106">
        <v>0</v>
      </c>
      <c r="C50" s="106">
        <v>0</v>
      </c>
      <c r="D50" s="106">
        <v>0</v>
      </c>
      <c r="E50" s="106">
        <v>0</v>
      </c>
      <c r="F50" s="106">
        <v>258</v>
      </c>
      <c r="G50" s="106">
        <v>1548</v>
      </c>
      <c r="H50" s="106">
        <v>645</v>
      </c>
      <c r="I50" s="106">
        <v>516</v>
      </c>
      <c r="J50" s="106">
        <v>903</v>
      </c>
      <c r="K50" s="106">
        <v>0</v>
      </c>
      <c r="L50" s="106">
        <v>0</v>
      </c>
      <c r="M50" s="106">
        <v>0</v>
      </c>
      <c r="N50" s="106">
        <f t="shared" si="0"/>
        <v>3870</v>
      </c>
      <c r="O50" s="86">
        <f t="shared" si="2"/>
        <v>2.6578337761911661E-3</v>
      </c>
    </row>
    <row r="51" spans="1:15" s="87" customFormat="1" x14ac:dyDescent="0.25">
      <c r="A51" s="85" t="s">
        <v>195</v>
      </c>
      <c r="B51" s="106">
        <v>105</v>
      </c>
      <c r="C51" s="106">
        <v>105</v>
      </c>
      <c r="D51" s="106">
        <v>210</v>
      </c>
      <c r="E51" s="106">
        <v>420</v>
      </c>
      <c r="F51" s="106">
        <v>315</v>
      </c>
      <c r="G51" s="106">
        <v>0</v>
      </c>
      <c r="H51" s="106">
        <v>0</v>
      </c>
      <c r="I51" s="106">
        <v>0</v>
      </c>
      <c r="J51" s="106">
        <v>0</v>
      </c>
      <c r="K51" s="106">
        <v>735</v>
      </c>
      <c r="L51" s="106">
        <v>315</v>
      </c>
      <c r="M51" s="106">
        <v>0</v>
      </c>
      <c r="N51" s="106">
        <f t="shared" si="0"/>
        <v>2205</v>
      </c>
      <c r="O51" s="86">
        <f t="shared" si="2"/>
        <v>1.5143471515507807E-3</v>
      </c>
    </row>
    <row r="52" spans="1:15" s="87" customFormat="1" x14ac:dyDescent="0.25">
      <c r="A52" s="85" t="s">
        <v>198</v>
      </c>
      <c r="B52" s="106">
        <v>11.4</v>
      </c>
      <c r="C52" s="106">
        <v>11.4</v>
      </c>
      <c r="D52" s="106">
        <v>13.2</v>
      </c>
      <c r="E52" s="106">
        <v>9</v>
      </c>
      <c r="F52" s="106">
        <v>12</v>
      </c>
      <c r="G52" s="106">
        <v>9</v>
      </c>
      <c r="H52" s="106">
        <v>0</v>
      </c>
      <c r="I52" s="106">
        <v>0</v>
      </c>
      <c r="J52" s="106">
        <v>11.4</v>
      </c>
      <c r="K52" s="106">
        <v>12.6</v>
      </c>
      <c r="L52" s="106">
        <v>10.8</v>
      </c>
      <c r="M52" s="106">
        <v>7.2</v>
      </c>
      <c r="N52" s="106">
        <f t="shared" si="0"/>
        <v>108</v>
      </c>
      <c r="O52" s="86">
        <f t="shared" si="2"/>
        <v>7.4172105382079061E-5</v>
      </c>
    </row>
    <row r="53" spans="1:15" x14ac:dyDescent="0.25">
      <c r="A53" s="84" t="s">
        <v>25</v>
      </c>
      <c r="B53" s="107">
        <f t="shared" ref="B53:M53" si="3">SUM(B4:B52)</f>
        <v>85405.9</v>
      </c>
      <c r="C53" s="107">
        <f t="shared" si="3"/>
        <v>90547.9</v>
      </c>
      <c r="D53" s="107">
        <f t="shared" si="3"/>
        <v>107203.2</v>
      </c>
      <c r="E53" s="107">
        <f t="shared" si="3"/>
        <v>110747.5</v>
      </c>
      <c r="F53" s="107">
        <f t="shared" si="3"/>
        <v>140652</v>
      </c>
      <c r="G53" s="107">
        <f t="shared" si="3"/>
        <v>146566.5</v>
      </c>
      <c r="H53" s="107">
        <f t="shared" si="3"/>
        <v>177362</v>
      </c>
      <c r="I53" s="107">
        <f t="shared" si="3"/>
        <v>166493</v>
      </c>
      <c r="J53" s="107">
        <f t="shared" si="3"/>
        <v>132414.9</v>
      </c>
      <c r="K53" s="107">
        <f t="shared" si="3"/>
        <v>108202.1</v>
      </c>
      <c r="L53" s="107">
        <f t="shared" si="3"/>
        <v>98874.8</v>
      </c>
      <c r="M53" s="107">
        <f t="shared" si="3"/>
        <v>91603.199999999997</v>
      </c>
      <c r="N53" s="108">
        <f t="shared" si="0"/>
        <v>1456073</v>
      </c>
      <c r="O53" s="89">
        <f t="shared" si="2"/>
        <v>1</v>
      </c>
    </row>
    <row r="54" spans="1:15" x14ac:dyDescent="0.25">
      <c r="A54" s="90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</row>
    <row r="55" spans="1:15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109"/>
      <c r="M55" s="57"/>
      <c r="N55" s="57"/>
      <c r="O55" s="57"/>
    </row>
    <row r="56" spans="1:15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</row>
    <row r="57" spans="1:15" x14ac:dyDescent="0.25">
      <c r="A57" s="57" t="s">
        <v>148</v>
      </c>
      <c r="B57" s="88">
        <f t="shared" ref="B57:D57" si="4">+B4+B7+B8+B9+B15+B16+B20+B21+B23+B24+B25+B28+B29+B34+B35+B36+B37+B38+B39+B40+B41+B42+B43+B44+B45+B46+B47+B48+B49+B50+B51+B5+B6</f>
        <v>71823</v>
      </c>
      <c r="C57" s="88">
        <f t="shared" si="4"/>
        <v>76771</v>
      </c>
      <c r="D57" s="88">
        <f t="shared" si="4"/>
        <v>89898</v>
      </c>
      <c r="E57" s="88">
        <f>+E4+E7+E8+E9+E15+E16+E20+E21+E23+E24+E25+E28+E29+E34+E35+E36+E37+E38+E39+E40+E41+E42+E43+E44+E45+E46+E47+E48+E49+E50+E51+E5+E6</f>
        <v>91130</v>
      </c>
      <c r="F57" s="88">
        <f t="shared" ref="F57:N57" si="5">+F4+F7+F8+F9+F15+F16+F20+F21+F23+F24+F25+F28+F29+F34+F35+F36+F37+F38+F39+F40+F41+F42+F43+F44+F45+F46+F47+F48+F49+F50+F51+F5+F6</f>
        <v>115142</v>
      </c>
      <c r="G57" s="88">
        <f t="shared" si="5"/>
        <v>114439</v>
      </c>
      <c r="H57" s="88">
        <f t="shared" si="5"/>
        <v>129427</v>
      </c>
      <c r="I57" s="88">
        <f>+I4+I7+I8+I9+I15+I16+I20+I21+I23+I24+I25+I28+I29+I34+I35+I36+I37+I38+I39+I40+I41+I42+I43+I44+I45+I46+I47+I48+I49+I50+I51+I5+I6+I19</f>
        <v>124660</v>
      </c>
      <c r="J57" s="107">
        <f>+J4+J7+J8+J9+J15+J16+J20+J21+J23+J24+J25+J28+J29+J34+J35+J36+J37+J38+J39+J40+J41+J42+J43+J44+J45+J46+J47+J48+J49+J50+J51+J5+J6+J19</f>
        <v>101804</v>
      </c>
      <c r="K57" s="107">
        <f>+K4+K7+K8+K9+K15+K16+K20+K21+K23+K24+K25+K28+K29+K34+K35+K36+K37+K38+K39+K40+K41+K42+K43+K44+K45+K46+K47+K48+K49+K50+K51+K5+K6+K19</f>
        <v>87020</v>
      </c>
      <c r="L57" s="107">
        <f>+L4+L7+L8+L9+L15+L16+L20+L21+L23+L24+L25+L28+L29+L34+L35+L36+L37+L38+L39+L40+L41+L42+L43+L44+L45+L46+L47+L48+L49+L50+L51+L5+L6+L19</f>
        <v>83035</v>
      </c>
      <c r="M57" s="107">
        <f>+M4+M7+M8+M9+M15+M16+M20+M21+M23+M24+M25+M28+M29+M34+M35+M36+M37+M38+M39+M40+M41+M42+M43+M44+M45+M46+M47+M48+M49+M50+M51+M5+M6+M19</f>
        <v>77696</v>
      </c>
      <c r="N57" s="88">
        <f t="shared" si="5"/>
        <v>1162845</v>
      </c>
      <c r="O57" s="57"/>
    </row>
    <row r="58" spans="1:15" s="93" customFormat="1" x14ac:dyDescent="0.25">
      <c r="A58" s="91" t="s">
        <v>149</v>
      </c>
      <c r="B58" s="92">
        <f>+B10+B11+B12+B13+B14+B18+B22+B26+B27+B30+B31+B32+B52</f>
        <v>13582.9</v>
      </c>
      <c r="C58" s="92">
        <f t="shared" ref="C58:N58" si="6">+C10+C11+C12+C13+C14+C18+C22+C26+C27+C30+C31+C32+C52</f>
        <v>13776.9</v>
      </c>
      <c r="D58" s="92">
        <f t="shared" si="6"/>
        <v>17305.2</v>
      </c>
      <c r="E58" s="92">
        <f t="shared" si="6"/>
        <v>19617.5</v>
      </c>
      <c r="F58" s="92">
        <f t="shared" si="6"/>
        <v>25390</v>
      </c>
      <c r="G58" s="92">
        <f t="shared" si="6"/>
        <v>31887.5</v>
      </c>
      <c r="H58" s="92">
        <f t="shared" si="6"/>
        <v>47695</v>
      </c>
      <c r="I58" s="92">
        <f t="shared" si="6"/>
        <v>41833</v>
      </c>
      <c r="J58" s="92">
        <f t="shared" si="6"/>
        <v>30490.9</v>
      </c>
      <c r="K58" s="92">
        <f t="shared" si="6"/>
        <v>21182.1</v>
      </c>
      <c r="L58" s="92">
        <f t="shared" si="6"/>
        <v>15839.8</v>
      </c>
      <c r="M58" s="92">
        <f t="shared" si="6"/>
        <v>13907.2</v>
      </c>
      <c r="N58" s="92">
        <f t="shared" si="6"/>
        <v>292508</v>
      </c>
      <c r="O58" s="92"/>
    </row>
    <row r="59" spans="1:15" s="96" customFormat="1" ht="15.6" thickBot="1" x14ac:dyDescent="0.3">
      <c r="A59" s="94" t="s">
        <v>143</v>
      </c>
      <c r="B59" s="95">
        <f t="shared" ref="B59:N59" si="7">SUM(B57:B58)</f>
        <v>85405.9</v>
      </c>
      <c r="C59" s="95">
        <f t="shared" si="7"/>
        <v>90547.9</v>
      </c>
      <c r="D59" s="95">
        <f t="shared" si="7"/>
        <v>107203.2</v>
      </c>
      <c r="E59" s="95">
        <f t="shared" si="7"/>
        <v>110747.5</v>
      </c>
      <c r="F59" s="95">
        <f t="shared" si="7"/>
        <v>140532</v>
      </c>
      <c r="G59" s="95">
        <f t="shared" si="7"/>
        <v>146326.5</v>
      </c>
      <c r="H59" s="95">
        <f t="shared" si="7"/>
        <v>177122</v>
      </c>
      <c r="I59" s="95">
        <f t="shared" si="7"/>
        <v>166493</v>
      </c>
      <c r="J59" s="95">
        <f t="shared" si="7"/>
        <v>132294.9</v>
      </c>
      <c r="K59" s="95">
        <f t="shared" si="7"/>
        <v>108202.1</v>
      </c>
      <c r="L59" s="95">
        <f t="shared" si="7"/>
        <v>98874.8</v>
      </c>
      <c r="M59" s="95">
        <f t="shared" si="7"/>
        <v>91603.199999999997</v>
      </c>
      <c r="N59" s="95">
        <f t="shared" si="7"/>
        <v>1455353</v>
      </c>
      <c r="O59" s="94"/>
    </row>
    <row r="60" spans="1:15" ht="15.6" thickTop="1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</row>
    <row r="61" spans="1:15" x14ac:dyDescent="0.25">
      <c r="A61" s="57"/>
      <c r="B61" s="88">
        <f t="shared" ref="B61:M61" si="8">+B59-B53</f>
        <v>0</v>
      </c>
      <c r="C61" s="88">
        <f t="shared" si="8"/>
        <v>0</v>
      </c>
      <c r="D61" s="88">
        <f t="shared" si="8"/>
        <v>0</v>
      </c>
      <c r="E61" s="88">
        <f t="shared" si="8"/>
        <v>0</v>
      </c>
      <c r="F61" s="88">
        <f t="shared" si="8"/>
        <v>-120</v>
      </c>
      <c r="G61" s="88">
        <f t="shared" si="8"/>
        <v>-240</v>
      </c>
      <c r="H61" s="88">
        <f t="shared" si="8"/>
        <v>-240</v>
      </c>
      <c r="I61" s="88">
        <f t="shared" si="8"/>
        <v>0</v>
      </c>
      <c r="J61" s="88">
        <f t="shared" si="8"/>
        <v>-120</v>
      </c>
      <c r="K61" s="88">
        <f>+K59-K53</f>
        <v>0</v>
      </c>
      <c r="L61" s="88">
        <f t="shared" si="8"/>
        <v>0</v>
      </c>
      <c r="M61" s="88">
        <f t="shared" si="8"/>
        <v>0</v>
      </c>
      <c r="N61" s="107"/>
      <c r="O61" s="57"/>
    </row>
    <row r="66" spans="1:14" x14ac:dyDescent="0.25">
      <c r="A66" s="97" t="s">
        <v>204</v>
      </c>
      <c r="B66" s="98">
        <f t="shared" ref="B66:N66" si="9">+B4+B7+B8+B9+B5+B6</f>
        <v>35856</v>
      </c>
      <c r="C66" s="98">
        <f t="shared" si="9"/>
        <v>36241</v>
      </c>
      <c r="D66" s="98">
        <f t="shared" si="9"/>
        <v>42453</v>
      </c>
      <c r="E66" s="98">
        <f t="shared" si="9"/>
        <v>42693</v>
      </c>
      <c r="F66" s="98">
        <f t="shared" si="9"/>
        <v>53408</v>
      </c>
      <c r="G66" s="98">
        <f t="shared" si="9"/>
        <v>41903</v>
      </c>
      <c r="H66" s="98">
        <f t="shared" si="9"/>
        <v>42604</v>
      </c>
      <c r="I66" s="98">
        <f t="shared" si="9"/>
        <v>38736</v>
      </c>
      <c r="J66" s="98">
        <f t="shared" si="9"/>
        <v>37132</v>
      </c>
      <c r="K66" s="98">
        <f t="shared" si="9"/>
        <v>41060</v>
      </c>
      <c r="L66" s="98">
        <f t="shared" si="9"/>
        <v>41213</v>
      </c>
      <c r="M66" s="98">
        <f t="shared" si="9"/>
        <v>37601</v>
      </c>
      <c r="N66" s="98">
        <f t="shared" si="9"/>
        <v>490900</v>
      </c>
    </row>
    <row r="67" spans="1:14" x14ac:dyDescent="0.25">
      <c r="A67" s="97" t="s">
        <v>205</v>
      </c>
      <c r="B67" s="98">
        <f t="shared" ref="B67:N67" si="10">+B15+B16+B24+B25</f>
        <v>26506</v>
      </c>
      <c r="C67" s="98">
        <f t="shared" si="10"/>
        <v>29052</v>
      </c>
      <c r="D67" s="98">
        <f t="shared" si="10"/>
        <v>33346</v>
      </c>
      <c r="E67" s="98">
        <f t="shared" si="10"/>
        <v>35550</v>
      </c>
      <c r="F67" s="98">
        <f t="shared" si="10"/>
        <v>42766</v>
      </c>
      <c r="G67" s="98">
        <f t="shared" si="10"/>
        <v>47424</v>
      </c>
      <c r="H67" s="98">
        <f t="shared" si="10"/>
        <v>64179</v>
      </c>
      <c r="I67" s="98">
        <f t="shared" si="10"/>
        <v>60750</v>
      </c>
      <c r="J67" s="98">
        <f t="shared" si="10"/>
        <v>45789</v>
      </c>
      <c r="K67" s="98">
        <f t="shared" si="10"/>
        <v>30258</v>
      </c>
      <c r="L67" s="98">
        <f t="shared" si="10"/>
        <v>28214</v>
      </c>
      <c r="M67" s="98">
        <f t="shared" si="10"/>
        <v>31226</v>
      </c>
      <c r="N67" s="98">
        <f t="shared" si="10"/>
        <v>475060</v>
      </c>
    </row>
    <row r="68" spans="1:14" x14ac:dyDescent="0.25">
      <c r="A68" s="97" t="s">
        <v>206</v>
      </c>
      <c r="B68" s="98">
        <f t="shared" ref="B68:N68" si="11">+B20+B21+B28+B29</f>
        <v>14</v>
      </c>
      <c r="C68" s="98">
        <f t="shared" si="11"/>
        <v>68</v>
      </c>
      <c r="D68" s="98">
        <f t="shared" si="11"/>
        <v>28</v>
      </c>
      <c r="E68" s="98">
        <f t="shared" si="11"/>
        <v>40</v>
      </c>
      <c r="F68" s="98">
        <f t="shared" si="11"/>
        <v>91</v>
      </c>
      <c r="G68" s="98">
        <f t="shared" si="11"/>
        <v>215</v>
      </c>
      <c r="H68" s="98">
        <f t="shared" si="11"/>
        <v>433</v>
      </c>
      <c r="I68" s="98">
        <f t="shared" si="11"/>
        <v>523</v>
      </c>
      <c r="J68" s="98">
        <f t="shared" si="11"/>
        <v>355</v>
      </c>
      <c r="K68" s="98">
        <f t="shared" si="11"/>
        <v>109</v>
      </c>
      <c r="L68" s="98">
        <f t="shared" si="11"/>
        <v>28</v>
      </c>
      <c r="M68" s="98">
        <f t="shared" si="11"/>
        <v>21</v>
      </c>
      <c r="N68" s="98">
        <f t="shared" si="11"/>
        <v>1925</v>
      </c>
    </row>
    <row r="69" spans="1:14" x14ac:dyDescent="0.25">
      <c r="A69" s="97" t="s">
        <v>207</v>
      </c>
      <c r="B69" s="98">
        <f t="shared" ref="B69:H69" si="12">+B34+B35+B36+B37+B38+B39+B40+B41+B42+B43+B44+B45+B46+B47+B48+B49+B50+B51+B19+B23</f>
        <v>9447</v>
      </c>
      <c r="C69" s="98">
        <f t="shared" si="12"/>
        <v>11410</v>
      </c>
      <c r="D69" s="98">
        <f t="shared" si="12"/>
        <v>14071</v>
      </c>
      <c r="E69" s="98">
        <f t="shared" si="12"/>
        <v>12847</v>
      </c>
      <c r="F69" s="98">
        <f t="shared" si="12"/>
        <v>18877</v>
      </c>
      <c r="G69" s="98">
        <f t="shared" si="12"/>
        <v>24897</v>
      </c>
      <c r="H69" s="98">
        <f t="shared" si="12"/>
        <v>22211</v>
      </c>
      <c r="I69" s="98">
        <f>+I34+I35+I36+I37+I38+I39+I40+I41+I42+I43+I44+I45+I46+I47+I48+I49+I50+I51+I19+I23</f>
        <v>24651</v>
      </c>
      <c r="J69" s="98">
        <f t="shared" ref="J69:M69" si="13">+J34+J35+J36+J37+J38+J39+J40+J41+J42+J43+J44+J45+J46+J47+J48+J49+J50+J51+J19+J23</f>
        <v>18528</v>
      </c>
      <c r="K69" s="98">
        <f t="shared" si="13"/>
        <v>15593</v>
      </c>
      <c r="L69" s="98">
        <f t="shared" si="13"/>
        <v>13580</v>
      </c>
      <c r="M69" s="98">
        <f t="shared" si="13"/>
        <v>8848</v>
      </c>
      <c r="N69" s="98">
        <f t="shared" ref="N69" si="14">+N34+N35+N36+N37+N38+N39+N40+N41+N42+N43+N44+N45+N46+N47+N48+N49+N50+N51</f>
        <v>194624</v>
      </c>
    </row>
    <row r="70" spans="1:14" x14ac:dyDescent="0.25">
      <c r="A70" s="97" t="s">
        <v>208</v>
      </c>
      <c r="B70" s="98">
        <f t="shared" ref="B70:N70" si="15">+B12+B30</f>
        <v>6871</v>
      </c>
      <c r="C70" s="98">
        <f t="shared" si="15"/>
        <v>6489</v>
      </c>
      <c r="D70" s="98">
        <f t="shared" si="15"/>
        <v>8763</v>
      </c>
      <c r="E70" s="98">
        <f t="shared" si="15"/>
        <v>8164</v>
      </c>
      <c r="F70" s="98">
        <f t="shared" si="15"/>
        <v>10960</v>
      </c>
      <c r="G70" s="98">
        <f t="shared" si="15"/>
        <v>13132</v>
      </c>
      <c r="H70" s="98">
        <f t="shared" si="15"/>
        <v>13650</v>
      </c>
      <c r="I70" s="98">
        <f t="shared" si="15"/>
        <v>11700</v>
      </c>
      <c r="J70" s="98">
        <f t="shared" si="15"/>
        <v>11100</v>
      </c>
      <c r="K70" s="98">
        <f t="shared" si="15"/>
        <v>10978</v>
      </c>
      <c r="L70" s="98">
        <f t="shared" si="15"/>
        <v>7703</v>
      </c>
      <c r="M70" s="98">
        <f t="shared" si="15"/>
        <v>6718</v>
      </c>
      <c r="N70" s="98">
        <f t="shared" si="15"/>
        <v>116228</v>
      </c>
    </row>
    <row r="71" spans="1:14" x14ac:dyDescent="0.25">
      <c r="A71" s="97" t="s">
        <v>209</v>
      </c>
      <c r="B71" s="98">
        <f t="shared" ref="B71:N71" si="16">+B13+B14+B26+B27</f>
        <v>6096</v>
      </c>
      <c r="C71" s="98">
        <f t="shared" si="16"/>
        <v>6672</v>
      </c>
      <c r="D71" s="98">
        <f t="shared" si="16"/>
        <v>7908</v>
      </c>
      <c r="E71" s="98">
        <f t="shared" si="16"/>
        <v>10122</v>
      </c>
      <c r="F71" s="98">
        <f t="shared" si="16"/>
        <v>14308</v>
      </c>
      <c r="G71" s="98">
        <f t="shared" si="16"/>
        <v>18664</v>
      </c>
      <c r="H71" s="98">
        <f t="shared" si="16"/>
        <v>33545</v>
      </c>
      <c r="I71" s="98">
        <f t="shared" si="16"/>
        <v>28613</v>
      </c>
      <c r="J71" s="98">
        <f t="shared" si="16"/>
        <v>19252</v>
      </c>
      <c r="K71" s="98">
        <f t="shared" si="16"/>
        <v>8576</v>
      </c>
      <c r="L71" s="98">
        <f t="shared" si="16"/>
        <v>6936</v>
      </c>
      <c r="M71" s="98">
        <f t="shared" si="16"/>
        <v>7116</v>
      </c>
      <c r="N71" s="98">
        <f t="shared" si="16"/>
        <v>167808</v>
      </c>
    </row>
    <row r="72" spans="1:14" x14ac:dyDescent="0.25">
      <c r="A72" s="97" t="s">
        <v>210</v>
      </c>
      <c r="B72" s="98">
        <f t="shared" ref="B72:N72" si="17">+B10+B11+B31+B32</f>
        <v>0</v>
      </c>
      <c r="C72" s="98">
        <f t="shared" si="17"/>
        <v>0</v>
      </c>
      <c r="D72" s="98">
        <f t="shared" si="17"/>
        <v>0</v>
      </c>
      <c r="E72" s="98">
        <f t="shared" si="17"/>
        <v>0</v>
      </c>
      <c r="F72" s="98">
        <f t="shared" si="17"/>
        <v>0</v>
      </c>
      <c r="G72" s="98">
        <f t="shared" si="17"/>
        <v>0</v>
      </c>
      <c r="H72" s="98">
        <f t="shared" si="17"/>
        <v>0</v>
      </c>
      <c r="I72" s="98">
        <f t="shared" si="17"/>
        <v>0</v>
      </c>
      <c r="J72" s="98">
        <f t="shared" si="17"/>
        <v>0</v>
      </c>
      <c r="K72" s="98">
        <f t="shared" si="17"/>
        <v>0</v>
      </c>
      <c r="L72" s="98">
        <f t="shared" si="17"/>
        <v>0</v>
      </c>
      <c r="M72" s="98">
        <f t="shared" si="17"/>
        <v>0</v>
      </c>
      <c r="N72" s="98">
        <f t="shared" si="17"/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38"/>
  <sheetViews>
    <sheetView zoomScale="75" workbookViewId="0">
      <pane xSplit="1" ySplit="3" topLeftCell="B26" activePane="bottomRight" state="frozen"/>
      <selection pane="topRight" activeCell="B1" sqref="B1"/>
      <selection pane="bottomLeft" activeCell="A4" sqref="A4"/>
      <selection pane="bottomRight" activeCell="G1" sqref="G1:N65536"/>
    </sheetView>
  </sheetViews>
  <sheetFormatPr defaultColWidth="9.75" defaultRowHeight="16.2" x14ac:dyDescent="0.4"/>
  <cols>
    <col min="1" max="1" width="32.08203125" style="4" bestFit="1" customWidth="1"/>
    <col min="2" max="3" width="4.58203125" style="4" bestFit="1" customWidth="1"/>
    <col min="4" max="4" width="5.08203125" style="4" bestFit="1" customWidth="1"/>
    <col min="5" max="5" width="4.9140625" style="4" bestFit="1" customWidth="1"/>
    <col min="6" max="6" width="5" style="4" bestFit="1" customWidth="1"/>
    <col min="7" max="14" width="10.75" style="4" customWidth="1"/>
    <col min="15" max="15" width="5.9140625" style="4" bestFit="1" customWidth="1"/>
    <col min="16" max="16384" width="9.75" style="4"/>
  </cols>
  <sheetData>
    <row r="1" spans="1:16" ht="18.600000000000001" x14ac:dyDescent="0.45">
      <c r="A1" s="3" t="s">
        <v>199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s="45" customFormat="1" x14ac:dyDescent="0.4">
      <c r="A4" s="42" t="s">
        <v>107</v>
      </c>
      <c r="B4" s="43"/>
      <c r="C4" s="43"/>
      <c r="D4" s="43"/>
      <c r="E4" s="43"/>
      <c r="F4" s="43"/>
      <c r="G4" s="43">
        <v>2482</v>
      </c>
      <c r="H4" s="43">
        <v>2847</v>
      </c>
      <c r="I4" s="43">
        <v>2153.5</v>
      </c>
      <c r="J4" s="43">
        <v>2445.5</v>
      </c>
      <c r="K4" s="43">
        <v>2482</v>
      </c>
      <c r="L4" s="43">
        <v>1533</v>
      </c>
      <c r="M4" s="43">
        <v>2774</v>
      </c>
      <c r="N4" s="43">
        <f t="shared" ref="N4:N30" si="0">SUM(B4:M4)</f>
        <v>16717</v>
      </c>
      <c r="O4" s="44">
        <f>N4/$N$31</f>
        <v>5.924652679330876E-2</v>
      </c>
      <c r="P4" s="49"/>
    </row>
    <row r="5" spans="1:16" s="45" customFormat="1" x14ac:dyDescent="0.4">
      <c r="A5" s="42" t="s">
        <v>108</v>
      </c>
      <c r="B5" s="51"/>
      <c r="C5" s="51"/>
      <c r="D5" s="51"/>
      <c r="E5" s="51"/>
      <c r="F5" s="51"/>
      <c r="G5" s="51">
        <v>76</v>
      </c>
      <c r="H5" s="51">
        <v>76</v>
      </c>
      <c r="I5" s="51">
        <v>38</v>
      </c>
      <c r="J5" s="51">
        <v>19</v>
      </c>
      <c r="K5" s="51">
        <v>0</v>
      </c>
      <c r="L5" s="51"/>
      <c r="M5" s="51"/>
      <c r="N5" s="52">
        <f t="shared" si="0"/>
        <v>209</v>
      </c>
      <c r="O5" s="44">
        <f t="shared" ref="O5:O28" si="1">N5/$N$31</f>
        <v>7.4071448823362634E-4</v>
      </c>
      <c r="P5" s="49"/>
    </row>
    <row r="6" spans="1:16" s="45" customFormat="1" x14ac:dyDescent="0.4">
      <c r="A6" s="42" t="s">
        <v>109</v>
      </c>
      <c r="B6" s="52"/>
      <c r="C6" s="52"/>
      <c r="D6" s="52"/>
      <c r="E6" s="52"/>
      <c r="F6" s="52"/>
      <c r="G6" s="52">
        <v>7245</v>
      </c>
      <c r="H6" s="52">
        <v>11845</v>
      </c>
      <c r="I6" s="52">
        <v>12995</v>
      </c>
      <c r="J6" s="52">
        <v>14547.5</v>
      </c>
      <c r="K6" s="52">
        <v>13340</v>
      </c>
      <c r="L6" s="52">
        <v>8625</v>
      </c>
      <c r="M6" s="52">
        <v>12190</v>
      </c>
      <c r="N6" s="52">
        <f t="shared" si="0"/>
        <v>80787.5</v>
      </c>
      <c r="O6" s="44">
        <f t="shared" si="1"/>
        <v>0.28631804649844061</v>
      </c>
      <c r="P6" s="49"/>
    </row>
    <row r="7" spans="1:16" s="45" customFormat="1" x14ac:dyDescent="0.4">
      <c r="A7" s="42" t="s">
        <v>110</v>
      </c>
      <c r="B7" s="52"/>
      <c r="C7" s="52"/>
      <c r="D7" s="52"/>
      <c r="E7" s="52"/>
      <c r="F7" s="52"/>
      <c r="G7" s="52">
        <v>240</v>
      </c>
      <c r="H7" s="52">
        <v>180</v>
      </c>
      <c r="I7" s="52">
        <v>180</v>
      </c>
      <c r="J7" s="52">
        <v>60</v>
      </c>
      <c r="K7" s="52">
        <v>0</v>
      </c>
      <c r="L7" s="52">
        <v>30</v>
      </c>
      <c r="M7" s="52">
        <v>60</v>
      </c>
      <c r="N7" s="52">
        <f t="shared" si="0"/>
        <v>750</v>
      </c>
      <c r="O7" s="44">
        <f t="shared" si="1"/>
        <v>2.6580663453359796E-3</v>
      </c>
      <c r="P7" s="49"/>
    </row>
    <row r="8" spans="1:16" s="45" customFormat="1" x14ac:dyDescent="0.4">
      <c r="A8" s="42" t="s">
        <v>111</v>
      </c>
      <c r="B8" s="52"/>
      <c r="C8" s="52"/>
      <c r="D8" s="52"/>
      <c r="E8" s="52"/>
      <c r="F8" s="52"/>
      <c r="G8" s="52">
        <v>1950</v>
      </c>
      <c r="H8" s="52">
        <v>2940</v>
      </c>
      <c r="I8" s="52">
        <v>2992.5</v>
      </c>
      <c r="J8" s="52">
        <v>2906.25</v>
      </c>
      <c r="K8" s="52">
        <v>3093.75</v>
      </c>
      <c r="L8" s="52">
        <v>3056.25</v>
      </c>
      <c r="M8" s="52">
        <v>2568.75</v>
      </c>
      <c r="N8" s="52">
        <f t="shared" si="0"/>
        <v>19507.5</v>
      </c>
      <c r="O8" s="44">
        <f t="shared" si="1"/>
        <v>6.9136305642188825E-2</v>
      </c>
      <c r="P8" s="49"/>
    </row>
    <row r="9" spans="1:16" s="45" customFormat="1" x14ac:dyDescent="0.4">
      <c r="A9" s="42" t="s">
        <v>4</v>
      </c>
      <c r="B9" s="52"/>
      <c r="C9" s="52"/>
      <c r="D9" s="52"/>
      <c r="E9" s="52"/>
      <c r="F9" s="52"/>
      <c r="G9" s="52">
        <v>3510</v>
      </c>
      <c r="H9" s="52">
        <v>6028.5</v>
      </c>
      <c r="I9" s="52">
        <v>5526</v>
      </c>
      <c r="J9" s="52">
        <v>3493.5</v>
      </c>
      <c r="K9" s="52">
        <v>2599.5</v>
      </c>
      <c r="L9" s="52">
        <v>2518.5</v>
      </c>
      <c r="M9" s="52">
        <v>2506.5</v>
      </c>
      <c r="N9" s="52">
        <f t="shared" si="0"/>
        <v>26182.5</v>
      </c>
      <c r="O9" s="44">
        <f t="shared" si="1"/>
        <v>9.2793096115679041E-2</v>
      </c>
      <c r="P9" s="49"/>
    </row>
    <row r="10" spans="1:16" s="45" customFormat="1" x14ac:dyDescent="0.4">
      <c r="A10" s="42" t="s">
        <v>112</v>
      </c>
      <c r="B10" s="52"/>
      <c r="C10" s="52"/>
      <c r="D10" s="52"/>
      <c r="E10" s="52"/>
      <c r="F10" s="52"/>
      <c r="G10" s="52">
        <v>1.5</v>
      </c>
      <c r="H10" s="52"/>
      <c r="I10" s="52"/>
      <c r="J10" s="52"/>
      <c r="K10" s="52"/>
      <c r="L10" s="52"/>
      <c r="M10" s="52"/>
      <c r="N10" s="52">
        <f t="shared" si="0"/>
        <v>1.5</v>
      </c>
      <c r="O10" s="44">
        <f t="shared" si="1"/>
        <v>5.3161326906719593E-6</v>
      </c>
      <c r="P10" s="49"/>
    </row>
    <row r="11" spans="1:16" s="45" customFormat="1" x14ac:dyDescent="0.4">
      <c r="A11" s="42" t="s">
        <v>113</v>
      </c>
      <c r="B11" s="52"/>
      <c r="C11" s="52"/>
      <c r="D11" s="52"/>
      <c r="E11" s="52"/>
      <c r="F11" s="52"/>
      <c r="G11" s="52">
        <v>12332.25</v>
      </c>
      <c r="H11" s="52">
        <v>19488</v>
      </c>
      <c r="I11" s="52">
        <v>16095</v>
      </c>
      <c r="J11" s="52">
        <v>11353.75</v>
      </c>
      <c r="K11" s="52">
        <v>8878</v>
      </c>
      <c r="L11" s="52">
        <v>6790.75</v>
      </c>
      <c r="M11" s="52">
        <v>7739.5</v>
      </c>
      <c r="N11" s="52">
        <f t="shared" si="0"/>
        <v>82677.25</v>
      </c>
      <c r="O11" s="44">
        <f t="shared" si="1"/>
        <v>0.29301548766657215</v>
      </c>
      <c r="P11" s="49"/>
    </row>
    <row r="12" spans="1:16" s="45" customFormat="1" x14ac:dyDescent="0.4">
      <c r="A12" s="42" t="s">
        <v>5</v>
      </c>
      <c r="B12" s="52"/>
      <c r="C12" s="52"/>
      <c r="D12" s="52"/>
      <c r="E12" s="52"/>
      <c r="F12" s="52"/>
      <c r="G12" s="52">
        <v>583.5</v>
      </c>
      <c r="H12" s="52">
        <v>1353</v>
      </c>
      <c r="I12" s="52">
        <v>1271.25</v>
      </c>
      <c r="J12" s="52">
        <v>679.5</v>
      </c>
      <c r="K12" s="52">
        <v>534</v>
      </c>
      <c r="L12" s="52">
        <v>672.75</v>
      </c>
      <c r="M12" s="52">
        <v>645</v>
      </c>
      <c r="N12" s="52">
        <f t="shared" si="0"/>
        <v>5739</v>
      </c>
      <c r="O12" s="44">
        <f t="shared" si="1"/>
        <v>2.0339523674510914E-2</v>
      </c>
      <c r="P12" s="49"/>
    </row>
    <row r="13" spans="1:16" s="45" customFormat="1" x14ac:dyDescent="0.4">
      <c r="A13" s="42" t="s">
        <v>114</v>
      </c>
      <c r="B13" s="52"/>
      <c r="C13" s="52"/>
      <c r="D13" s="52"/>
      <c r="E13" s="52"/>
      <c r="F13" s="52"/>
      <c r="G13" s="52">
        <v>1035</v>
      </c>
      <c r="H13" s="52">
        <v>187</v>
      </c>
      <c r="I13" s="52">
        <v>420</v>
      </c>
      <c r="J13" s="52">
        <v>1206</v>
      </c>
      <c r="K13" s="52">
        <v>456</v>
      </c>
      <c r="L13" s="52">
        <v>123</v>
      </c>
      <c r="M13" s="52">
        <v>578.75</v>
      </c>
      <c r="N13" s="52">
        <f t="shared" si="0"/>
        <v>4005.75</v>
      </c>
      <c r="O13" s="44">
        <f t="shared" si="1"/>
        <v>1.4196732350439467E-2</v>
      </c>
      <c r="P13" s="49"/>
    </row>
    <row r="14" spans="1:16" s="45" customFormat="1" x14ac:dyDescent="0.4">
      <c r="A14" s="42" t="s">
        <v>115</v>
      </c>
      <c r="B14" s="52"/>
      <c r="C14" s="52"/>
      <c r="D14" s="52"/>
      <c r="E14" s="52"/>
      <c r="F14" s="52"/>
      <c r="G14" s="52">
        <v>108.75</v>
      </c>
      <c r="H14" s="52">
        <v>240</v>
      </c>
      <c r="I14" s="52">
        <v>135</v>
      </c>
      <c r="J14" s="52">
        <v>177</v>
      </c>
      <c r="K14" s="52">
        <v>45</v>
      </c>
      <c r="L14" s="52">
        <v>21</v>
      </c>
      <c r="M14" s="52">
        <v>15</v>
      </c>
      <c r="N14" s="52">
        <f t="shared" si="0"/>
        <v>741.75</v>
      </c>
      <c r="O14" s="44">
        <f t="shared" si="1"/>
        <v>2.6288276155372837E-3</v>
      </c>
      <c r="P14" s="49"/>
    </row>
    <row r="15" spans="1:16" s="45" customFormat="1" x14ac:dyDescent="0.4">
      <c r="A15" s="42" t="s">
        <v>10</v>
      </c>
      <c r="B15" s="52"/>
      <c r="C15" s="52"/>
      <c r="D15" s="52"/>
      <c r="E15" s="52"/>
      <c r="F15" s="52"/>
      <c r="G15" s="52">
        <v>79.3</v>
      </c>
      <c r="H15" s="52"/>
      <c r="I15" s="52"/>
      <c r="J15" s="52">
        <v>99</v>
      </c>
      <c r="K15" s="52">
        <v>110</v>
      </c>
      <c r="L15" s="52">
        <v>104.5</v>
      </c>
      <c r="M15" s="52">
        <v>71.5</v>
      </c>
      <c r="N15" s="52">
        <f t="shared" si="0"/>
        <v>464.3</v>
      </c>
      <c r="O15" s="44">
        <f t="shared" si="1"/>
        <v>1.6455202721859937E-3</v>
      </c>
      <c r="P15" s="49"/>
    </row>
    <row r="16" spans="1:16" s="45" customFormat="1" x14ac:dyDescent="0.4">
      <c r="A16" s="42" t="s">
        <v>11</v>
      </c>
      <c r="B16" s="52"/>
      <c r="C16" s="52"/>
      <c r="D16" s="52"/>
      <c r="E16" s="52"/>
      <c r="F16" s="52"/>
      <c r="G16" s="52">
        <v>71.25</v>
      </c>
      <c r="H16" s="52">
        <v>7.5</v>
      </c>
      <c r="I16" s="52">
        <v>48.75</v>
      </c>
      <c r="J16" s="52">
        <v>6</v>
      </c>
      <c r="K16" s="52">
        <v>30</v>
      </c>
      <c r="L16" s="52">
        <v>15</v>
      </c>
      <c r="M16" s="52">
        <v>36</v>
      </c>
      <c r="N16" s="52">
        <f t="shared" si="0"/>
        <v>214.5</v>
      </c>
      <c r="O16" s="44">
        <f t="shared" si="1"/>
        <v>7.6020697476609014E-4</v>
      </c>
      <c r="P16" s="49"/>
    </row>
    <row r="17" spans="1:16" s="45" customFormat="1" x14ac:dyDescent="0.4">
      <c r="A17" s="42" t="s">
        <v>116</v>
      </c>
      <c r="B17" s="52"/>
      <c r="C17" s="52"/>
      <c r="D17" s="52"/>
      <c r="E17" s="52"/>
      <c r="F17" s="52"/>
      <c r="G17" s="52">
        <v>79.5</v>
      </c>
      <c r="H17" s="52">
        <v>114.75</v>
      </c>
      <c r="I17" s="52">
        <v>113.25</v>
      </c>
      <c r="J17" s="52">
        <v>122.25</v>
      </c>
      <c r="K17" s="52">
        <v>34.5</v>
      </c>
      <c r="L17" s="52">
        <v>6.75</v>
      </c>
      <c r="M17" s="52">
        <v>5.25</v>
      </c>
      <c r="N17" s="52">
        <f t="shared" si="0"/>
        <v>476.25</v>
      </c>
      <c r="O17" s="44">
        <f t="shared" si="1"/>
        <v>1.6878721292883469E-3</v>
      </c>
      <c r="P17" s="49"/>
    </row>
    <row r="18" spans="1:16" s="45" customFormat="1" x14ac:dyDescent="0.4">
      <c r="A18" s="42" t="s">
        <v>117</v>
      </c>
      <c r="B18" s="52"/>
      <c r="C18" s="52"/>
      <c r="D18" s="52"/>
      <c r="E18" s="52"/>
      <c r="F18" s="52"/>
      <c r="G18" s="52">
        <v>312</v>
      </c>
      <c r="H18" s="52">
        <v>702</v>
      </c>
      <c r="I18" s="52">
        <v>689</v>
      </c>
      <c r="J18" s="52">
        <v>574.5</v>
      </c>
      <c r="K18" s="52">
        <v>665</v>
      </c>
      <c r="L18" s="52">
        <v>655</v>
      </c>
      <c r="M18" s="52">
        <v>620</v>
      </c>
      <c r="N18" s="52">
        <f t="shared" si="0"/>
        <v>4217.5</v>
      </c>
      <c r="O18" s="44">
        <f t="shared" si="1"/>
        <v>1.4947193081939324E-2</v>
      </c>
      <c r="P18" s="49"/>
    </row>
    <row r="19" spans="1:16" s="45" customFormat="1" x14ac:dyDescent="0.4">
      <c r="A19" s="42" t="s">
        <v>14</v>
      </c>
      <c r="B19" s="52"/>
      <c r="C19" s="52"/>
      <c r="D19" s="52"/>
      <c r="E19" s="52"/>
      <c r="F19" s="52"/>
      <c r="G19" s="52">
        <v>127.5</v>
      </c>
      <c r="H19" s="52">
        <v>185</v>
      </c>
      <c r="I19" s="52">
        <v>205</v>
      </c>
      <c r="J19" s="52">
        <v>125</v>
      </c>
      <c r="K19" s="52">
        <v>125</v>
      </c>
      <c r="L19" s="52">
        <v>68.75</v>
      </c>
      <c r="M19" s="52">
        <v>162.5</v>
      </c>
      <c r="N19" s="52">
        <f t="shared" si="0"/>
        <v>998.75</v>
      </c>
      <c r="O19" s="44">
        <f t="shared" si="1"/>
        <v>3.5396583498724129E-3</v>
      </c>
      <c r="P19" s="49"/>
    </row>
    <row r="20" spans="1:16" s="45" customFormat="1" x14ac:dyDescent="0.4">
      <c r="A20" s="42" t="s">
        <v>118</v>
      </c>
      <c r="B20" s="52"/>
      <c r="C20" s="52"/>
      <c r="D20" s="52"/>
      <c r="E20" s="52"/>
      <c r="F20" s="52"/>
      <c r="G20" s="52">
        <v>1417.25</v>
      </c>
      <c r="H20" s="52">
        <v>1822.25</v>
      </c>
      <c r="I20" s="52">
        <v>1535.5</v>
      </c>
      <c r="J20" s="52">
        <v>1542</v>
      </c>
      <c r="K20" s="52">
        <v>1370.25</v>
      </c>
      <c r="L20" s="52">
        <v>986</v>
      </c>
      <c r="M20" s="52">
        <v>1319.5</v>
      </c>
      <c r="N20" s="52">
        <f t="shared" si="0"/>
        <v>9992.75</v>
      </c>
      <c r="O20" s="44">
        <f t="shared" si="1"/>
        <v>3.5415189963141483E-2</v>
      </c>
      <c r="P20" s="49"/>
    </row>
    <row r="21" spans="1:16" s="45" customFormat="1" x14ac:dyDescent="0.4">
      <c r="A21" s="42" t="s">
        <v>119</v>
      </c>
      <c r="B21" s="52"/>
      <c r="C21" s="52"/>
      <c r="D21" s="52"/>
      <c r="E21" s="52"/>
      <c r="F21" s="52"/>
      <c r="G21" s="52">
        <v>1476</v>
      </c>
      <c r="H21" s="52">
        <v>900</v>
      </c>
      <c r="I21" s="52">
        <v>780</v>
      </c>
      <c r="J21" s="52">
        <v>1207</v>
      </c>
      <c r="K21" s="52">
        <v>959.5</v>
      </c>
      <c r="L21" s="52">
        <v>456</v>
      </c>
      <c r="M21" s="52">
        <v>807.5</v>
      </c>
      <c r="N21" s="52">
        <f t="shared" si="0"/>
        <v>6586</v>
      </c>
      <c r="O21" s="44">
        <f t="shared" si="1"/>
        <v>2.3341366600510349E-2</v>
      </c>
      <c r="P21" s="49"/>
    </row>
    <row r="22" spans="1:16" s="45" customFormat="1" x14ac:dyDescent="0.4">
      <c r="A22" s="42" t="s">
        <v>120</v>
      </c>
      <c r="B22" s="52"/>
      <c r="C22" s="52"/>
      <c r="D22" s="52"/>
      <c r="E22" s="52"/>
      <c r="F22" s="52"/>
      <c r="G22" s="52">
        <v>1038.5</v>
      </c>
      <c r="H22" s="52">
        <v>1193.5</v>
      </c>
      <c r="I22" s="52">
        <v>992</v>
      </c>
      <c r="J22" s="52">
        <v>774</v>
      </c>
      <c r="K22" s="52">
        <v>539</v>
      </c>
      <c r="L22" s="52">
        <v>428.75</v>
      </c>
      <c r="M22" s="52">
        <v>355.25</v>
      </c>
      <c r="N22" s="52">
        <f t="shared" si="0"/>
        <v>5321</v>
      </c>
      <c r="O22" s="44">
        <f t="shared" si="1"/>
        <v>1.8858094698043663E-2</v>
      </c>
      <c r="P22" s="49"/>
    </row>
    <row r="23" spans="1:16" s="45" customFormat="1" x14ac:dyDescent="0.4">
      <c r="A23" s="42" t="s">
        <v>121</v>
      </c>
      <c r="B23" s="52"/>
      <c r="C23" s="52"/>
      <c r="D23" s="52"/>
      <c r="E23" s="52"/>
      <c r="F23" s="52"/>
      <c r="G23" s="52">
        <v>1500</v>
      </c>
      <c r="H23" s="52">
        <v>1781.25</v>
      </c>
      <c r="I23" s="52">
        <v>1518.75</v>
      </c>
      <c r="J23" s="52">
        <v>1095</v>
      </c>
      <c r="K23" s="52">
        <v>1020</v>
      </c>
      <c r="L23" s="52">
        <v>570</v>
      </c>
      <c r="M23" s="52">
        <v>495</v>
      </c>
      <c r="N23" s="52">
        <f t="shared" si="0"/>
        <v>7980</v>
      </c>
      <c r="O23" s="44">
        <f t="shared" si="1"/>
        <v>2.8281825914374822E-2</v>
      </c>
      <c r="P23" s="49"/>
    </row>
    <row r="24" spans="1:16" s="45" customFormat="1" x14ac:dyDescent="0.4">
      <c r="A24" s="42" t="s">
        <v>122</v>
      </c>
      <c r="B24" s="52"/>
      <c r="C24" s="52"/>
      <c r="D24" s="52"/>
      <c r="E24" s="52"/>
      <c r="F24" s="52"/>
      <c r="G24" s="52">
        <v>437</v>
      </c>
      <c r="H24" s="52">
        <v>920</v>
      </c>
      <c r="I24" s="52">
        <v>644</v>
      </c>
      <c r="J24" s="52">
        <v>540.25</v>
      </c>
      <c r="K24" s="52">
        <v>474.5</v>
      </c>
      <c r="L24" s="52">
        <v>219</v>
      </c>
      <c r="M24" s="52">
        <v>365</v>
      </c>
      <c r="N24" s="52">
        <f t="shared" si="0"/>
        <v>3599.75</v>
      </c>
      <c r="O24" s="44">
        <f t="shared" si="1"/>
        <v>1.275783243549759E-2</v>
      </c>
      <c r="P24" s="49"/>
    </row>
    <row r="25" spans="1:16" s="45" customFormat="1" x14ac:dyDescent="0.4">
      <c r="A25" s="42" t="s">
        <v>123</v>
      </c>
      <c r="B25" s="52"/>
      <c r="C25" s="52"/>
      <c r="D25" s="52"/>
      <c r="E25" s="52"/>
      <c r="F25" s="52"/>
      <c r="G25" s="52">
        <v>218</v>
      </c>
      <c r="H25" s="52">
        <v>354.25</v>
      </c>
      <c r="I25" s="52">
        <v>163.5</v>
      </c>
      <c r="J25" s="52">
        <v>304.75</v>
      </c>
      <c r="K25" s="52">
        <v>239.25</v>
      </c>
      <c r="L25" s="52">
        <v>65.25</v>
      </c>
      <c r="M25" s="52">
        <v>65.25</v>
      </c>
      <c r="N25" s="52">
        <f t="shared" si="0"/>
        <v>1410.25</v>
      </c>
      <c r="O25" s="44">
        <f t="shared" si="1"/>
        <v>4.9980507513467535E-3</v>
      </c>
      <c r="P25" s="49"/>
    </row>
    <row r="26" spans="1:16" s="45" customFormat="1" x14ac:dyDescent="0.4">
      <c r="A26" s="42" t="s">
        <v>124</v>
      </c>
      <c r="B26" s="52"/>
      <c r="C26" s="52"/>
      <c r="D26" s="52"/>
      <c r="E26" s="52"/>
      <c r="F26" s="52"/>
      <c r="G26" s="52">
        <v>64</v>
      </c>
      <c r="H26" s="52">
        <v>256</v>
      </c>
      <c r="I26" s="52">
        <v>160</v>
      </c>
      <c r="J26" s="52">
        <v>57.5</v>
      </c>
      <c r="K26" s="52">
        <v>153</v>
      </c>
      <c r="L26" s="52">
        <v>51</v>
      </c>
      <c r="M26" s="52">
        <v>76.5</v>
      </c>
      <c r="N26" s="52">
        <f t="shared" si="0"/>
        <v>818</v>
      </c>
      <c r="O26" s="44">
        <f t="shared" si="1"/>
        <v>2.8990643606464418E-3</v>
      </c>
      <c r="P26" s="49"/>
    </row>
    <row r="27" spans="1:16" s="45" customFormat="1" x14ac:dyDescent="0.4">
      <c r="A27" s="42" t="s">
        <v>125</v>
      </c>
      <c r="B27" s="52"/>
      <c r="C27" s="52"/>
      <c r="D27" s="52"/>
      <c r="E27" s="52"/>
      <c r="F27" s="52"/>
      <c r="G27" s="52">
        <v>111</v>
      </c>
      <c r="H27" s="52">
        <v>111</v>
      </c>
      <c r="I27" s="52">
        <v>222</v>
      </c>
      <c r="J27" s="52">
        <v>66.5</v>
      </c>
      <c r="K27" s="52">
        <v>59</v>
      </c>
      <c r="L27" s="52">
        <v>88.5</v>
      </c>
      <c r="M27" s="52">
        <v>88.5</v>
      </c>
      <c r="N27" s="52">
        <f t="shared" si="0"/>
        <v>746.5</v>
      </c>
      <c r="O27" s="44">
        <f t="shared" si="1"/>
        <v>2.6456620357244117E-3</v>
      </c>
      <c r="P27" s="49"/>
    </row>
    <row r="28" spans="1:16" s="45" customFormat="1" x14ac:dyDescent="0.4">
      <c r="A28" s="42" t="s">
        <v>126</v>
      </c>
      <c r="B28" s="52"/>
      <c r="C28" s="52"/>
      <c r="D28" s="52"/>
      <c r="E28" s="52"/>
      <c r="F28" s="52"/>
      <c r="G28" s="52">
        <v>802.75</v>
      </c>
      <c r="H28" s="52">
        <v>211.25</v>
      </c>
      <c r="I28" s="52">
        <v>169</v>
      </c>
      <c r="J28" s="52">
        <v>67.5</v>
      </c>
      <c r="K28" s="52">
        <v>405</v>
      </c>
      <c r="L28" s="52">
        <v>135</v>
      </c>
      <c r="M28" s="52">
        <v>135</v>
      </c>
      <c r="N28" s="52">
        <f t="shared" si="0"/>
        <v>1925.5</v>
      </c>
      <c r="O28" s="44">
        <f t="shared" si="1"/>
        <v>6.8241423305925716E-3</v>
      </c>
      <c r="P28" s="49"/>
    </row>
    <row r="29" spans="1:16" s="45" customFormat="1" x14ac:dyDescent="0.4">
      <c r="A29" s="42" t="s">
        <v>127</v>
      </c>
      <c r="B29" s="52"/>
      <c r="C29" s="52"/>
      <c r="D29" s="52"/>
      <c r="E29" s="52"/>
      <c r="F29" s="52"/>
      <c r="G29" s="52"/>
      <c r="H29" s="52"/>
      <c r="I29" s="52"/>
      <c r="J29" s="52"/>
      <c r="K29" s="52">
        <v>59</v>
      </c>
      <c r="L29" s="52"/>
      <c r="M29" s="52"/>
      <c r="N29" s="52">
        <f t="shared" si="0"/>
        <v>59</v>
      </c>
      <c r="O29" s="44"/>
      <c r="P29" s="49"/>
    </row>
    <row r="30" spans="1:16" s="45" customFormat="1" x14ac:dyDescent="0.4">
      <c r="A30" s="42" t="s">
        <v>128</v>
      </c>
      <c r="B30" s="52"/>
      <c r="C30" s="52"/>
      <c r="D30" s="52"/>
      <c r="E30" s="52"/>
      <c r="F30" s="52"/>
      <c r="G30" s="52"/>
      <c r="H30" s="52"/>
      <c r="I30" s="52"/>
      <c r="J30" s="52"/>
      <c r="K30" s="52">
        <v>12</v>
      </c>
      <c r="L30" s="52">
        <v>11.4</v>
      </c>
      <c r="M30" s="52">
        <v>7.8</v>
      </c>
      <c r="N30" s="52">
        <f t="shared" si="0"/>
        <v>31.2</v>
      </c>
      <c r="O30" s="44"/>
      <c r="P30" s="49"/>
    </row>
    <row r="31" spans="1:16" x14ac:dyDescent="0.4">
      <c r="A31" s="5" t="s">
        <v>25</v>
      </c>
      <c r="B31" s="39"/>
      <c r="C31" s="39"/>
      <c r="D31" s="39"/>
      <c r="E31" s="39"/>
      <c r="F31" s="39"/>
      <c r="G31" s="39">
        <f t="shared" ref="G31:O31" si="2">SUM(G4:G30)</f>
        <v>37298.050000000003</v>
      </c>
      <c r="H31" s="39">
        <f t="shared" si="2"/>
        <v>53743.25</v>
      </c>
      <c r="I31" s="39">
        <f t="shared" si="2"/>
        <v>49047</v>
      </c>
      <c r="J31" s="39">
        <f t="shared" si="2"/>
        <v>43469.25</v>
      </c>
      <c r="K31" s="39">
        <f t="shared" si="2"/>
        <v>37683.25</v>
      </c>
      <c r="L31" s="39">
        <f t="shared" si="2"/>
        <v>27231.15</v>
      </c>
      <c r="M31" s="39">
        <f t="shared" si="2"/>
        <v>33688.050000000003</v>
      </c>
      <c r="N31" s="39">
        <f t="shared" si="2"/>
        <v>282160</v>
      </c>
      <c r="O31" s="40">
        <f t="shared" si="2"/>
        <v>0.99968032322086764</v>
      </c>
    </row>
    <row r="32" spans="1:16" x14ac:dyDescent="0.4">
      <c r="A32" s="12"/>
    </row>
    <row r="35" spans="1:14" ht="16.8" x14ac:dyDescent="0.4">
      <c r="A35" t="s">
        <v>148</v>
      </c>
      <c r="N35" s="39">
        <f>+N4+N5+N6+N7+N11+N14+N18+N20+N21+N22+N23+N24+N25+N26+N27+N28+N29</f>
        <v>224538.75</v>
      </c>
    </row>
    <row r="36" spans="1:14" ht="16.8" x14ac:dyDescent="0.4">
      <c r="A36" t="s">
        <v>149</v>
      </c>
      <c r="N36" s="50">
        <f>+N8+N9+N12+N17+N19</f>
        <v>52904</v>
      </c>
    </row>
    <row r="37" spans="1:14" s="48" customFormat="1" ht="17.399999999999999" thickBot="1" x14ac:dyDescent="0.45">
      <c r="A37" s="46" t="s">
        <v>143</v>
      </c>
      <c r="N37" s="47">
        <f>SUM(N4:N30)</f>
        <v>282160</v>
      </c>
    </row>
    <row r="38" spans="1:14" ht="16.8" thickTop="1" x14ac:dyDescent="0.4"/>
  </sheetData>
  <phoneticPr fontId="14" type="noConversion"/>
  <printOptions horizontalCentered="1" verticalCentered="1"/>
  <pageMargins left="0.25" right="0.25" top="0.25" bottom="0.25" header="0" footer="0"/>
  <pageSetup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35"/>
  <sheetViews>
    <sheetView zoomScale="75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N27" sqref="B5:N27"/>
    </sheetView>
  </sheetViews>
  <sheetFormatPr defaultColWidth="9.75" defaultRowHeight="16.2" x14ac:dyDescent="0.4"/>
  <cols>
    <col min="1" max="1" width="21.25" style="4" bestFit="1" customWidth="1"/>
    <col min="2" max="2" width="9.08203125" style="4" bestFit="1" customWidth="1"/>
    <col min="3" max="3" width="9.33203125" style="4" customWidth="1"/>
    <col min="4" max="4" width="9.08203125" style="4" bestFit="1" customWidth="1"/>
    <col min="5" max="6" width="9.33203125" style="4" bestFit="1" customWidth="1"/>
    <col min="7" max="13" width="5.33203125" style="4" bestFit="1" customWidth="1"/>
    <col min="14" max="14" width="10" style="4" bestFit="1" customWidth="1"/>
    <col min="15" max="15" width="6.58203125" style="4" bestFit="1" customWidth="1"/>
    <col min="16" max="16384" width="9.75" style="4"/>
  </cols>
  <sheetData>
    <row r="1" spans="1:16" ht="18.600000000000001" x14ac:dyDescent="0.45">
      <c r="A1" s="3" t="s">
        <v>200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s="45" customFormat="1" x14ac:dyDescent="0.4">
      <c r="A4" s="49" t="s">
        <v>1</v>
      </c>
      <c r="B4" s="43">
        <v>1588.6</v>
      </c>
      <c r="C4" s="43">
        <v>1690</v>
      </c>
      <c r="D4" s="43">
        <v>1960.4</v>
      </c>
      <c r="E4" s="43">
        <v>2366</v>
      </c>
      <c r="F4" s="43">
        <v>3109.6</v>
      </c>
      <c r="G4" s="43"/>
      <c r="H4" s="43"/>
      <c r="I4" s="43"/>
      <c r="J4" s="43"/>
      <c r="K4" s="43"/>
      <c r="L4" s="43"/>
      <c r="M4" s="43"/>
      <c r="N4" s="43">
        <f t="shared" ref="N4:N27" si="0">SUM(B4:M4)</f>
        <v>10714.6</v>
      </c>
      <c r="O4" s="44">
        <f t="shared" ref="O4:O27" si="1">N4/$N$28</f>
        <v>6.453658861252598E-2</v>
      </c>
      <c r="P4" s="49"/>
    </row>
    <row r="5" spans="1:16" s="45" customFormat="1" x14ac:dyDescent="0.4">
      <c r="A5" s="49" t="s">
        <v>2</v>
      </c>
      <c r="B5" s="51">
        <v>10591.25</v>
      </c>
      <c r="C5" s="51">
        <v>10776.25</v>
      </c>
      <c r="D5" s="51">
        <v>13320</v>
      </c>
      <c r="E5" s="51">
        <v>12950</v>
      </c>
      <c r="F5" s="51">
        <v>28027.5</v>
      </c>
      <c r="G5" s="51"/>
      <c r="H5" s="51"/>
      <c r="I5" s="51"/>
      <c r="J5" s="51"/>
      <c r="K5" s="51"/>
      <c r="L5" s="51"/>
      <c r="M5" s="51"/>
      <c r="N5" s="52">
        <f t="shared" si="0"/>
        <v>75665</v>
      </c>
      <c r="O5" s="44">
        <f t="shared" si="1"/>
        <v>0.45574832260343623</v>
      </c>
      <c r="P5" s="49"/>
    </row>
    <row r="6" spans="1:16" s="45" customFormat="1" x14ac:dyDescent="0.4">
      <c r="A6" s="49" t="s">
        <v>3</v>
      </c>
      <c r="B6" s="52">
        <v>2062.5</v>
      </c>
      <c r="C6" s="52">
        <v>1818.75</v>
      </c>
      <c r="D6" s="52">
        <v>2775</v>
      </c>
      <c r="E6" s="52">
        <v>2887.5</v>
      </c>
      <c r="F6" s="52">
        <v>5700</v>
      </c>
      <c r="G6" s="52"/>
      <c r="H6" s="52"/>
      <c r="I6" s="52"/>
      <c r="J6" s="52"/>
      <c r="K6" s="52"/>
      <c r="L6" s="52"/>
      <c r="M6" s="52"/>
      <c r="N6" s="52">
        <f t="shared" si="0"/>
        <v>15243.75</v>
      </c>
      <c r="O6" s="44">
        <f t="shared" si="1"/>
        <v>9.1816738157485381E-2</v>
      </c>
      <c r="P6" s="49"/>
    </row>
    <row r="7" spans="1:16" s="45" customFormat="1" x14ac:dyDescent="0.4">
      <c r="A7" s="49" t="s">
        <v>4</v>
      </c>
      <c r="B7" s="52">
        <v>1262.5</v>
      </c>
      <c r="C7" s="52">
        <v>1566.25</v>
      </c>
      <c r="D7" s="52">
        <v>1868.75</v>
      </c>
      <c r="E7" s="52">
        <v>2575</v>
      </c>
      <c r="F7" s="52">
        <v>2766.25</v>
      </c>
      <c r="G7" s="52"/>
      <c r="H7" s="52"/>
      <c r="I7" s="52"/>
      <c r="J7" s="52"/>
      <c r="K7" s="52"/>
      <c r="L7" s="52"/>
      <c r="M7" s="52"/>
      <c r="N7" s="52">
        <f t="shared" si="0"/>
        <v>10038.75</v>
      </c>
      <c r="O7" s="44">
        <f t="shared" si="1"/>
        <v>6.0465783037537114E-2</v>
      </c>
      <c r="P7" s="49"/>
    </row>
    <row r="8" spans="1:16" s="45" customFormat="1" x14ac:dyDescent="0.4">
      <c r="A8" s="49" t="s">
        <v>5</v>
      </c>
      <c r="B8" s="52">
        <v>188.5</v>
      </c>
      <c r="C8" s="52">
        <v>184.5</v>
      </c>
      <c r="D8" s="52">
        <v>195</v>
      </c>
      <c r="E8" s="52">
        <v>349</v>
      </c>
      <c r="F8" s="52">
        <v>315.5</v>
      </c>
      <c r="G8" s="52"/>
      <c r="H8" s="52"/>
      <c r="I8" s="52"/>
      <c r="J8" s="52"/>
      <c r="K8" s="52"/>
      <c r="L8" s="52"/>
      <c r="M8" s="52"/>
      <c r="N8" s="52">
        <f t="shared" si="0"/>
        <v>1232.5</v>
      </c>
      <c r="O8" s="44">
        <f t="shared" si="1"/>
        <v>7.4236411499205074E-3</v>
      </c>
      <c r="P8" s="49"/>
    </row>
    <row r="9" spans="1:16" s="45" customFormat="1" x14ac:dyDescent="0.4">
      <c r="A9" s="49" t="s">
        <v>6</v>
      </c>
      <c r="B9" s="52">
        <v>4478.25</v>
      </c>
      <c r="C9" s="52">
        <v>5943</v>
      </c>
      <c r="D9" s="52">
        <v>6541.5</v>
      </c>
      <c r="E9" s="52">
        <v>8835.75</v>
      </c>
      <c r="F9" s="52">
        <v>9045.75</v>
      </c>
      <c r="G9" s="52"/>
      <c r="H9" s="52"/>
      <c r="I9" s="52"/>
      <c r="J9" s="52"/>
      <c r="K9" s="52"/>
      <c r="L9" s="52"/>
      <c r="M9" s="52"/>
      <c r="N9" s="52">
        <f t="shared" si="0"/>
        <v>34844.25</v>
      </c>
      <c r="O9" s="44">
        <f t="shared" si="1"/>
        <v>0.20987521958467961</v>
      </c>
      <c r="P9" s="49"/>
    </row>
    <row r="10" spans="1:16" s="45" customFormat="1" x14ac:dyDescent="0.4">
      <c r="A10" s="49" t="s">
        <v>7</v>
      </c>
      <c r="B10" s="52">
        <v>0</v>
      </c>
      <c r="C10" s="52">
        <v>0</v>
      </c>
      <c r="D10" s="52">
        <v>25</v>
      </c>
      <c r="E10" s="52">
        <v>25</v>
      </c>
      <c r="F10" s="52">
        <v>25</v>
      </c>
      <c r="G10" s="52"/>
      <c r="H10" s="52"/>
      <c r="I10" s="52"/>
      <c r="J10" s="52"/>
      <c r="K10" s="52"/>
      <c r="L10" s="52"/>
      <c r="M10" s="52"/>
      <c r="N10" s="52">
        <f t="shared" si="0"/>
        <v>75</v>
      </c>
      <c r="O10" s="44">
        <f t="shared" si="1"/>
        <v>4.5174286916351973E-4</v>
      </c>
      <c r="P10" s="49"/>
    </row>
    <row r="11" spans="1:16" s="45" customFormat="1" x14ac:dyDescent="0.4">
      <c r="A11" s="49" t="s">
        <v>8</v>
      </c>
      <c r="B11" s="52">
        <v>296.8</v>
      </c>
      <c r="C11" s="52">
        <v>370.75</v>
      </c>
      <c r="D11" s="52">
        <v>372.8</v>
      </c>
      <c r="E11" s="52">
        <v>437</v>
      </c>
      <c r="F11" s="52">
        <v>673</v>
      </c>
      <c r="G11" s="52"/>
      <c r="H11" s="52"/>
      <c r="I11" s="52"/>
      <c r="J11" s="52"/>
      <c r="K11" s="52"/>
      <c r="L11" s="52"/>
      <c r="M11" s="52"/>
      <c r="N11" s="52">
        <f t="shared" si="0"/>
        <v>2150.35</v>
      </c>
      <c r="O11" s="44">
        <f t="shared" si="1"/>
        <v>1.2952070382743661E-2</v>
      </c>
      <c r="P11" s="49"/>
    </row>
    <row r="12" spans="1:16" s="45" customFormat="1" x14ac:dyDescent="0.4">
      <c r="A12" s="49" t="s">
        <v>9</v>
      </c>
      <c r="B12" s="52">
        <v>2</v>
      </c>
      <c r="C12" s="52">
        <v>22</v>
      </c>
      <c r="D12" s="52">
        <v>84</v>
      </c>
      <c r="E12" s="52">
        <v>64</v>
      </c>
      <c r="F12" s="52">
        <v>46</v>
      </c>
      <c r="G12" s="52"/>
      <c r="H12" s="52"/>
      <c r="I12" s="52"/>
      <c r="J12" s="52"/>
      <c r="K12" s="52"/>
      <c r="L12" s="52"/>
      <c r="M12" s="52"/>
      <c r="N12" s="52">
        <f t="shared" si="0"/>
        <v>218</v>
      </c>
      <c r="O12" s="44">
        <f t="shared" si="1"/>
        <v>1.313065939701964E-3</v>
      </c>
      <c r="P12" s="49"/>
    </row>
    <row r="13" spans="1:16" s="45" customFormat="1" x14ac:dyDescent="0.4">
      <c r="A13" s="49" t="s">
        <v>10</v>
      </c>
      <c r="B13" s="52">
        <f>99+10.8</f>
        <v>109.8</v>
      </c>
      <c r="C13" s="52">
        <f>82.5+9</f>
        <v>91.5</v>
      </c>
      <c r="D13" s="52">
        <f>126.5+13.8</f>
        <v>140.30000000000001</v>
      </c>
      <c r="E13" s="52">
        <f>93.5+10.2</f>
        <v>103.7</v>
      </c>
      <c r="F13" s="52">
        <f>104.5+11.4</f>
        <v>115.9</v>
      </c>
      <c r="G13" s="52"/>
      <c r="H13" s="52"/>
      <c r="I13" s="52"/>
      <c r="J13" s="52"/>
      <c r="K13" s="52"/>
      <c r="L13" s="52"/>
      <c r="M13" s="52"/>
      <c r="N13" s="52">
        <f t="shared" si="0"/>
        <v>561.20000000000005</v>
      </c>
      <c r="O13" s="44">
        <f t="shared" si="1"/>
        <v>3.3802413089942304E-3</v>
      </c>
      <c r="P13" s="49"/>
    </row>
    <row r="14" spans="1:16" s="45" customFormat="1" x14ac:dyDescent="0.4">
      <c r="A14" s="49" t="s">
        <v>11</v>
      </c>
      <c r="B14" s="52">
        <v>4</v>
      </c>
      <c r="C14" s="52">
        <v>12.5</v>
      </c>
      <c r="D14" s="52">
        <v>11</v>
      </c>
      <c r="E14" s="52">
        <v>23.75</v>
      </c>
      <c r="F14" s="52">
        <v>28.25</v>
      </c>
      <c r="G14" s="52"/>
      <c r="H14" s="52"/>
      <c r="I14" s="52"/>
      <c r="J14" s="52"/>
      <c r="K14" s="52"/>
      <c r="L14" s="52"/>
      <c r="M14" s="52"/>
      <c r="N14" s="52">
        <f t="shared" si="0"/>
        <v>79.5</v>
      </c>
      <c r="O14" s="44">
        <f t="shared" si="1"/>
        <v>4.788474413133309E-4</v>
      </c>
      <c r="P14" s="49"/>
    </row>
    <row r="15" spans="1:16" s="45" customFormat="1" x14ac:dyDescent="0.4">
      <c r="A15" s="49" t="s">
        <v>12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/>
      <c r="H15" s="52"/>
      <c r="I15" s="52"/>
      <c r="J15" s="52"/>
      <c r="K15" s="52"/>
      <c r="L15" s="52"/>
      <c r="M15" s="52"/>
      <c r="N15" s="52">
        <f t="shared" si="0"/>
        <v>0</v>
      </c>
      <c r="O15" s="44">
        <f t="shared" si="1"/>
        <v>0</v>
      </c>
      <c r="P15" s="49"/>
    </row>
    <row r="16" spans="1:16" s="45" customFormat="1" x14ac:dyDescent="0.4">
      <c r="A16" s="49" t="s">
        <v>13</v>
      </c>
      <c r="B16" s="52">
        <v>0</v>
      </c>
      <c r="C16" s="52">
        <v>0</v>
      </c>
      <c r="D16" s="52">
        <v>0</v>
      </c>
      <c r="E16" s="52">
        <v>0</v>
      </c>
      <c r="F16" s="52">
        <v>1993</v>
      </c>
      <c r="G16" s="52"/>
      <c r="H16" s="52"/>
      <c r="I16" s="52"/>
      <c r="J16" s="52"/>
      <c r="K16" s="52"/>
      <c r="L16" s="52"/>
      <c r="M16" s="52"/>
      <c r="N16" s="52">
        <f t="shared" si="0"/>
        <v>1993</v>
      </c>
      <c r="O16" s="44">
        <f t="shared" si="1"/>
        <v>1.2004313843238598E-2</v>
      </c>
      <c r="P16" s="49"/>
    </row>
    <row r="17" spans="1:16" s="45" customFormat="1" x14ac:dyDescent="0.4">
      <c r="A17" s="49" t="s">
        <v>14</v>
      </c>
      <c r="B17" s="52">
        <v>100</v>
      </c>
      <c r="C17" s="52">
        <v>125</v>
      </c>
      <c r="D17" s="52">
        <v>125</v>
      </c>
      <c r="E17" s="52">
        <v>137.5</v>
      </c>
      <c r="F17" s="52">
        <v>243.75</v>
      </c>
      <c r="G17" s="52"/>
      <c r="H17" s="52"/>
      <c r="I17" s="52"/>
      <c r="J17" s="52"/>
      <c r="K17" s="52"/>
      <c r="L17" s="52"/>
      <c r="M17" s="52"/>
      <c r="N17" s="52">
        <f t="shared" si="0"/>
        <v>731.25</v>
      </c>
      <c r="O17" s="44">
        <f t="shared" si="1"/>
        <v>4.4044929743443173E-3</v>
      </c>
      <c r="P17" s="49"/>
    </row>
    <row r="18" spans="1:16" s="45" customFormat="1" x14ac:dyDescent="0.4">
      <c r="A18" s="49" t="s">
        <v>15</v>
      </c>
      <c r="B18" s="52">
        <v>35</v>
      </c>
      <c r="C18" s="52">
        <v>49</v>
      </c>
      <c r="D18" s="52">
        <v>84</v>
      </c>
      <c r="E18" s="52">
        <v>168</v>
      </c>
      <c r="F18" s="52">
        <v>129.5</v>
      </c>
      <c r="G18" s="52"/>
      <c r="H18" s="52"/>
      <c r="I18" s="52"/>
      <c r="J18" s="52"/>
      <c r="K18" s="52"/>
      <c r="L18" s="52"/>
      <c r="M18" s="52"/>
      <c r="N18" s="52">
        <f t="shared" si="0"/>
        <v>465.5</v>
      </c>
      <c r="O18" s="44">
        <f t="shared" si="1"/>
        <v>2.8038174079415791E-3</v>
      </c>
      <c r="P18" s="49"/>
    </row>
    <row r="19" spans="1:16" s="45" customFormat="1" x14ac:dyDescent="0.4">
      <c r="A19" s="49" t="s">
        <v>16</v>
      </c>
      <c r="B19" s="52">
        <v>78.75</v>
      </c>
      <c r="C19" s="52">
        <v>126</v>
      </c>
      <c r="D19" s="52">
        <v>204.75</v>
      </c>
      <c r="E19" s="52">
        <v>236.25</v>
      </c>
      <c r="F19" s="52">
        <v>299.25</v>
      </c>
      <c r="G19" s="52"/>
      <c r="H19" s="52"/>
      <c r="I19" s="52"/>
      <c r="J19" s="52"/>
      <c r="K19" s="52"/>
      <c r="L19" s="52"/>
      <c r="M19" s="52"/>
      <c r="N19" s="52">
        <f t="shared" si="0"/>
        <v>945</v>
      </c>
      <c r="O19" s="44">
        <f t="shared" si="1"/>
        <v>5.691960151460348E-3</v>
      </c>
      <c r="P19" s="49"/>
    </row>
    <row r="20" spans="1:16" s="45" customFormat="1" x14ac:dyDescent="0.4">
      <c r="A20" s="49" t="s">
        <v>17</v>
      </c>
      <c r="B20" s="52">
        <v>539</v>
      </c>
      <c r="C20" s="52">
        <v>763</v>
      </c>
      <c r="D20" s="52">
        <v>833</v>
      </c>
      <c r="E20" s="52">
        <v>819</v>
      </c>
      <c r="F20" s="52">
        <v>735</v>
      </c>
      <c r="G20" s="52"/>
      <c r="H20" s="52"/>
      <c r="I20" s="52"/>
      <c r="J20" s="52"/>
      <c r="K20" s="52"/>
      <c r="L20" s="52"/>
      <c r="M20" s="52"/>
      <c r="N20" s="52">
        <f t="shared" si="0"/>
        <v>3689</v>
      </c>
      <c r="O20" s="44">
        <f t="shared" si="1"/>
        <v>2.2219725924589658E-2</v>
      </c>
      <c r="P20" s="49"/>
    </row>
    <row r="21" spans="1:16" s="45" customFormat="1" x14ac:dyDescent="0.4">
      <c r="A21" s="49" t="s">
        <v>18</v>
      </c>
      <c r="B21" s="52">
        <v>288</v>
      </c>
      <c r="C21" s="52">
        <v>495</v>
      </c>
      <c r="D21" s="52">
        <v>477</v>
      </c>
      <c r="E21" s="52">
        <v>558</v>
      </c>
      <c r="F21" s="52">
        <v>621</v>
      </c>
      <c r="G21" s="52"/>
      <c r="H21" s="52"/>
      <c r="I21" s="52"/>
      <c r="J21" s="52"/>
      <c r="K21" s="52"/>
      <c r="L21" s="52"/>
      <c r="M21" s="52"/>
      <c r="N21" s="52">
        <f t="shared" si="0"/>
        <v>2439</v>
      </c>
      <c r="O21" s="44">
        <f t="shared" si="1"/>
        <v>1.4690678105197662E-2</v>
      </c>
      <c r="P21" s="49"/>
    </row>
    <row r="22" spans="1:16" s="45" customFormat="1" x14ac:dyDescent="0.4">
      <c r="A22" s="49" t="s">
        <v>19</v>
      </c>
      <c r="B22" s="52">
        <v>210</v>
      </c>
      <c r="C22" s="52">
        <v>147</v>
      </c>
      <c r="D22" s="52">
        <v>283.5</v>
      </c>
      <c r="E22" s="52">
        <v>304.5</v>
      </c>
      <c r="F22" s="52">
        <v>315</v>
      </c>
      <c r="G22" s="52"/>
      <c r="H22" s="52"/>
      <c r="I22" s="52"/>
      <c r="J22" s="52"/>
      <c r="K22" s="52"/>
      <c r="L22" s="52"/>
      <c r="M22" s="52"/>
      <c r="N22" s="52">
        <f t="shared" si="0"/>
        <v>1260</v>
      </c>
      <c r="O22" s="44">
        <f t="shared" si="1"/>
        <v>7.5892802019471312E-3</v>
      </c>
      <c r="P22" s="49"/>
    </row>
    <row r="23" spans="1:16" s="45" customFormat="1" x14ac:dyDescent="0.4">
      <c r="A23" s="49" t="s">
        <v>20</v>
      </c>
      <c r="B23" s="52">
        <v>154</v>
      </c>
      <c r="C23" s="52">
        <v>252</v>
      </c>
      <c r="D23" s="52">
        <v>406</v>
      </c>
      <c r="E23" s="52">
        <v>490</v>
      </c>
      <c r="F23" s="52">
        <v>546</v>
      </c>
      <c r="G23" s="52"/>
      <c r="H23" s="52"/>
      <c r="I23" s="52"/>
      <c r="J23" s="52"/>
      <c r="K23" s="52"/>
      <c r="L23" s="52"/>
      <c r="M23" s="52"/>
      <c r="N23" s="52">
        <f t="shared" si="0"/>
        <v>1848</v>
      </c>
      <c r="O23" s="44">
        <f t="shared" si="1"/>
        <v>1.1130944296189126E-2</v>
      </c>
      <c r="P23" s="49"/>
    </row>
    <row r="24" spans="1:16" s="45" customFormat="1" x14ac:dyDescent="0.4">
      <c r="A24" s="49" t="s">
        <v>21</v>
      </c>
      <c r="B24" s="52">
        <v>54</v>
      </c>
      <c r="C24" s="52">
        <v>108</v>
      </c>
      <c r="D24" s="52">
        <v>252</v>
      </c>
      <c r="E24" s="52">
        <v>216</v>
      </c>
      <c r="F24" s="52">
        <v>324</v>
      </c>
      <c r="G24" s="52"/>
      <c r="H24" s="52"/>
      <c r="I24" s="52"/>
      <c r="J24" s="52"/>
      <c r="K24" s="52"/>
      <c r="L24" s="52"/>
      <c r="M24" s="52"/>
      <c r="N24" s="52">
        <f t="shared" si="0"/>
        <v>954</v>
      </c>
      <c r="O24" s="44">
        <f t="shared" si="1"/>
        <v>5.746169295759971E-3</v>
      </c>
      <c r="P24" s="49"/>
    </row>
    <row r="25" spans="1:16" s="45" customFormat="1" x14ac:dyDescent="0.4">
      <c r="A25" s="49" t="s">
        <v>22</v>
      </c>
      <c r="B25" s="52">
        <v>75</v>
      </c>
      <c r="C25" s="52">
        <v>50</v>
      </c>
      <c r="D25" s="52">
        <v>150</v>
      </c>
      <c r="E25" s="52">
        <v>75</v>
      </c>
      <c r="F25" s="52">
        <v>175</v>
      </c>
      <c r="G25" s="52"/>
      <c r="H25" s="52"/>
      <c r="I25" s="52"/>
      <c r="J25" s="52"/>
      <c r="K25" s="52"/>
      <c r="L25" s="52"/>
      <c r="M25" s="52"/>
      <c r="N25" s="52">
        <f t="shared" si="0"/>
        <v>525</v>
      </c>
      <c r="O25" s="44">
        <f t="shared" si="1"/>
        <v>3.1622000841446379E-3</v>
      </c>
      <c r="P25" s="49"/>
    </row>
    <row r="26" spans="1:16" s="45" customFormat="1" x14ac:dyDescent="0.4">
      <c r="A26" s="49" t="s">
        <v>23</v>
      </c>
      <c r="B26" s="52">
        <v>10.5</v>
      </c>
      <c r="C26" s="52">
        <v>48.75</v>
      </c>
      <c r="D26" s="52">
        <v>21</v>
      </c>
      <c r="E26" s="52">
        <v>42</v>
      </c>
      <c r="F26" s="52">
        <v>78.75</v>
      </c>
      <c r="G26" s="52"/>
      <c r="H26" s="52"/>
      <c r="I26" s="52"/>
      <c r="J26" s="52"/>
      <c r="K26" s="52"/>
      <c r="L26" s="52"/>
      <c r="M26" s="52"/>
      <c r="N26" s="52">
        <f t="shared" si="0"/>
        <v>201</v>
      </c>
      <c r="O26" s="44">
        <f t="shared" si="1"/>
        <v>1.2106708893582327E-3</v>
      </c>
      <c r="P26" s="49"/>
    </row>
    <row r="27" spans="1:16" s="45" customFormat="1" x14ac:dyDescent="0.4">
      <c r="A27" s="49" t="s">
        <v>24</v>
      </c>
      <c r="B27" s="52">
        <v>25</v>
      </c>
      <c r="C27" s="52">
        <v>25</v>
      </c>
      <c r="D27" s="52">
        <v>25</v>
      </c>
      <c r="E27" s="52">
        <v>75</v>
      </c>
      <c r="F27" s="52">
        <v>0</v>
      </c>
      <c r="G27" s="52"/>
      <c r="H27" s="52"/>
      <c r="I27" s="52"/>
      <c r="J27" s="52"/>
      <c r="K27" s="52"/>
      <c r="L27" s="52"/>
      <c r="M27" s="52"/>
      <c r="N27" s="52">
        <f t="shared" si="0"/>
        <v>150</v>
      </c>
      <c r="O27" s="44">
        <f t="shared" si="1"/>
        <v>9.0348573832703947E-4</v>
      </c>
      <c r="P27" s="49"/>
    </row>
    <row r="28" spans="1:16" x14ac:dyDescent="0.4">
      <c r="A28" s="5" t="s">
        <v>25</v>
      </c>
      <c r="B28" s="9">
        <f t="shared" ref="B28:O28" si="2">SUM(B4:B27)</f>
        <v>22153.449999999997</v>
      </c>
      <c r="C28" s="9">
        <f t="shared" si="2"/>
        <v>24664.25</v>
      </c>
      <c r="D28" s="9">
        <f t="shared" si="2"/>
        <v>30155</v>
      </c>
      <c r="E28" s="9">
        <f t="shared" si="2"/>
        <v>33737.949999999997</v>
      </c>
      <c r="F28" s="9">
        <f t="shared" si="2"/>
        <v>55313</v>
      </c>
      <c r="G28" s="9">
        <f t="shared" si="2"/>
        <v>0</v>
      </c>
      <c r="H28" s="9">
        <f t="shared" si="2"/>
        <v>0</v>
      </c>
      <c r="I28" s="9">
        <f t="shared" si="2"/>
        <v>0</v>
      </c>
      <c r="J28" s="9">
        <f t="shared" si="2"/>
        <v>0</v>
      </c>
      <c r="K28" s="9">
        <f t="shared" si="2"/>
        <v>0</v>
      </c>
      <c r="L28" s="9">
        <f t="shared" si="2"/>
        <v>0</v>
      </c>
      <c r="M28" s="9">
        <f t="shared" si="2"/>
        <v>0</v>
      </c>
      <c r="N28" s="9">
        <f t="shared" si="2"/>
        <v>166023.65000000002</v>
      </c>
      <c r="O28" s="10">
        <f t="shared" si="2"/>
        <v>0.99999999999999978</v>
      </c>
      <c r="P28" s="5"/>
    </row>
    <row r="29" spans="1:16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>
        <f>SUM(B28:M28)</f>
        <v>166023.65</v>
      </c>
      <c r="O29" s="5"/>
    </row>
    <row r="30" spans="1:16" x14ac:dyDescent="0.4">
      <c r="A30" s="12"/>
    </row>
    <row r="32" spans="1:16" ht="16.8" x14ac:dyDescent="0.4">
      <c r="A32" t="s">
        <v>148</v>
      </c>
      <c r="N32" s="39">
        <f>+N4+N5+N9+N10+N12+N20+N21+N22+N23+N24+N25+N27</f>
        <v>132381.85</v>
      </c>
    </row>
    <row r="33" spans="1:14" ht="16.8" x14ac:dyDescent="0.4">
      <c r="A33" t="s">
        <v>149</v>
      </c>
      <c r="N33" s="50">
        <f>+N6+N7+N8+N17</f>
        <v>27246.25</v>
      </c>
    </row>
    <row r="34" spans="1:14" s="48" customFormat="1" ht="17.399999999999999" thickBot="1" x14ac:dyDescent="0.45">
      <c r="A34" s="46" t="s">
        <v>143</v>
      </c>
      <c r="N34" s="47">
        <f>SUM(N4:N27)</f>
        <v>166023.65000000002</v>
      </c>
    </row>
    <row r="35" spans="1:14" ht="16.8" thickTop="1" x14ac:dyDescent="0.4"/>
  </sheetData>
  <phoneticPr fontId="14" type="noConversion"/>
  <printOptions horizontalCentered="1" verticalCentered="1"/>
  <pageMargins left="0.25" right="0.25" top="0.25" bottom="0.25" header="0" footer="0"/>
  <pageSetup scale="9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35"/>
  <sheetViews>
    <sheetView topLeftCell="A2" zoomScale="75" workbookViewId="0">
      <pane xSplit="1" ySplit="2" topLeftCell="B4" activePane="bottomRight" state="frozen"/>
      <selection activeCell="A2" sqref="A2"/>
      <selection pane="topRight" activeCell="B2" sqref="B2"/>
      <selection pane="bottomLeft" activeCell="A4" sqref="A4"/>
      <selection pane="bottomRight" activeCell="N34" sqref="A1:N34"/>
    </sheetView>
  </sheetViews>
  <sheetFormatPr defaultColWidth="9.75" defaultRowHeight="16.2" x14ac:dyDescent="0.4"/>
  <cols>
    <col min="1" max="1" width="18.33203125" style="4" customWidth="1"/>
    <col min="2" max="2" width="9.33203125" style="4" bestFit="1" customWidth="1"/>
    <col min="3" max="3" width="9.33203125" style="4" customWidth="1"/>
    <col min="4" max="5" width="9.08203125" style="4" bestFit="1" customWidth="1"/>
    <col min="6" max="6" width="9.33203125" style="4" bestFit="1" customWidth="1"/>
    <col min="7" max="8" width="9.08203125" style="4" bestFit="1" customWidth="1"/>
    <col min="9" max="9" width="9.33203125" style="4" bestFit="1" customWidth="1"/>
    <col min="10" max="10" width="9.08203125" style="4" bestFit="1" customWidth="1"/>
    <col min="11" max="12" width="9.33203125" style="4" customWidth="1"/>
    <col min="13" max="13" width="9.33203125" style="4" bestFit="1" customWidth="1"/>
    <col min="14" max="14" width="10.25" style="4" bestFit="1" customWidth="1"/>
    <col min="15" max="15" width="6.58203125" style="4" bestFit="1" customWidth="1"/>
    <col min="16" max="16384" width="9.75" style="4"/>
  </cols>
  <sheetData>
    <row r="1" spans="1:16" ht="18.600000000000001" x14ac:dyDescent="0.45">
      <c r="A1" s="3" t="s">
        <v>106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s="45" customFormat="1" x14ac:dyDescent="0.4">
      <c r="A4" s="49" t="s">
        <v>1</v>
      </c>
      <c r="B4" s="43">
        <v>1791.4</v>
      </c>
      <c r="C4" s="43">
        <v>1385</v>
      </c>
      <c r="D4" s="43">
        <v>1825.2</v>
      </c>
      <c r="E4" s="43">
        <v>2028</v>
      </c>
      <c r="F4" s="43">
        <v>2737.8</v>
      </c>
      <c r="G4" s="43">
        <v>2670.2</v>
      </c>
      <c r="H4" s="43">
        <v>1926.6</v>
      </c>
      <c r="I4" s="43">
        <v>2535</v>
      </c>
      <c r="J4" s="43">
        <v>1825.2</v>
      </c>
      <c r="K4" s="43">
        <v>1385.8</v>
      </c>
      <c r="L4" s="43">
        <v>1690</v>
      </c>
      <c r="M4" s="43">
        <v>1892.8</v>
      </c>
      <c r="N4" s="43">
        <f t="shared" ref="N4:N27" si="0">SUM(B4:M4)</f>
        <v>23693.000000000004</v>
      </c>
      <c r="O4" s="44">
        <f t="shared" ref="O4:O27" si="1">N4/$N$28</f>
        <v>6.1743459872288797E-2</v>
      </c>
      <c r="P4" s="49"/>
    </row>
    <row r="5" spans="1:16" s="45" customFormat="1" x14ac:dyDescent="0.4">
      <c r="A5" s="49" t="s">
        <v>2</v>
      </c>
      <c r="B5" s="51">
        <v>10545</v>
      </c>
      <c r="C5" s="51">
        <v>10961.25</v>
      </c>
      <c r="D5" s="51">
        <v>12348.75</v>
      </c>
      <c r="E5" s="51">
        <v>12626.25</v>
      </c>
      <c r="F5" s="51">
        <v>13921.25</v>
      </c>
      <c r="G5" s="51">
        <v>13273.75</v>
      </c>
      <c r="H5" s="51">
        <v>7353.75</v>
      </c>
      <c r="I5" s="51">
        <v>11932.5</v>
      </c>
      <c r="J5" s="51">
        <v>10868.75</v>
      </c>
      <c r="K5" s="51">
        <v>11331.25</v>
      </c>
      <c r="L5" s="51">
        <v>10915</v>
      </c>
      <c r="M5" s="51">
        <v>11053.75</v>
      </c>
      <c r="N5" s="52">
        <f t="shared" si="0"/>
        <v>137131.25</v>
      </c>
      <c r="O5" s="44">
        <f t="shared" si="1"/>
        <v>0.35736115441741451</v>
      </c>
      <c r="P5" s="49"/>
    </row>
    <row r="6" spans="1:16" s="45" customFormat="1" x14ac:dyDescent="0.4">
      <c r="A6" s="49" t="s">
        <v>3</v>
      </c>
      <c r="B6" s="52">
        <v>2175</v>
      </c>
      <c r="C6" s="52">
        <v>2081.25</v>
      </c>
      <c r="D6" s="52">
        <v>2493.75</v>
      </c>
      <c r="E6" s="52">
        <v>2700</v>
      </c>
      <c r="F6" s="52">
        <v>3262.5</v>
      </c>
      <c r="G6" s="52">
        <v>3243.75</v>
      </c>
      <c r="H6" s="52">
        <v>5400</v>
      </c>
      <c r="I6" s="52">
        <v>3581.25</v>
      </c>
      <c r="J6" s="52">
        <v>3037.5</v>
      </c>
      <c r="K6" s="52">
        <v>2456.25</v>
      </c>
      <c r="L6" s="52">
        <v>2287.5</v>
      </c>
      <c r="M6" s="52">
        <v>2343.75</v>
      </c>
      <c r="N6" s="52">
        <f t="shared" si="0"/>
        <v>35062.5</v>
      </c>
      <c r="O6" s="44">
        <f t="shared" si="1"/>
        <v>9.137213783700357E-2</v>
      </c>
      <c r="P6" s="49"/>
    </row>
    <row r="7" spans="1:16" s="45" customFormat="1" x14ac:dyDescent="0.4">
      <c r="A7" s="49" t="s">
        <v>4</v>
      </c>
      <c r="B7" s="52">
        <v>1417.5</v>
      </c>
      <c r="C7" s="52">
        <v>1415</v>
      </c>
      <c r="D7" s="52">
        <v>1657.5</v>
      </c>
      <c r="E7" s="52">
        <v>2077.5</v>
      </c>
      <c r="F7" s="52">
        <v>2885</v>
      </c>
      <c r="G7" s="52">
        <v>3153.75</v>
      </c>
      <c r="H7" s="52">
        <v>5386.25</v>
      </c>
      <c r="I7" s="52">
        <v>5388.75</v>
      </c>
      <c r="J7" s="52">
        <v>3226.25</v>
      </c>
      <c r="K7" s="52">
        <v>2315</v>
      </c>
      <c r="L7" s="52">
        <v>2075</v>
      </c>
      <c r="M7" s="52">
        <v>1775</v>
      </c>
      <c r="N7" s="52">
        <f t="shared" si="0"/>
        <v>32772.5</v>
      </c>
      <c r="O7" s="44">
        <f t="shared" si="1"/>
        <v>8.5404445982551147E-2</v>
      </c>
      <c r="P7" s="49"/>
    </row>
    <row r="8" spans="1:16" s="45" customFormat="1" x14ac:dyDescent="0.4">
      <c r="A8" s="49" t="s">
        <v>5</v>
      </c>
      <c r="B8" s="52">
        <v>177</v>
      </c>
      <c r="C8" s="52">
        <v>183.5</v>
      </c>
      <c r="D8" s="52">
        <v>163.5</v>
      </c>
      <c r="E8" s="52">
        <v>283</v>
      </c>
      <c r="F8" s="52">
        <v>318.5</v>
      </c>
      <c r="G8" s="52">
        <v>392.5</v>
      </c>
      <c r="H8" s="52">
        <v>718.5</v>
      </c>
      <c r="I8" s="52">
        <v>844.5</v>
      </c>
      <c r="J8" s="52">
        <v>229</v>
      </c>
      <c r="K8" s="52">
        <v>189</v>
      </c>
      <c r="L8" s="52">
        <v>248</v>
      </c>
      <c r="M8" s="52">
        <v>231.5</v>
      </c>
      <c r="N8" s="52">
        <f t="shared" si="0"/>
        <v>3978.5</v>
      </c>
      <c r="O8" s="44">
        <f t="shared" si="1"/>
        <v>1.0367887354995185E-2</v>
      </c>
      <c r="P8" s="49"/>
    </row>
    <row r="9" spans="1:16" s="45" customFormat="1" x14ac:dyDescent="0.4">
      <c r="A9" s="49" t="s">
        <v>6</v>
      </c>
      <c r="B9" s="52">
        <v>5423.25</v>
      </c>
      <c r="C9" s="52">
        <v>5591.25</v>
      </c>
      <c r="D9" s="52">
        <v>5796</v>
      </c>
      <c r="E9" s="52">
        <v>7796.25</v>
      </c>
      <c r="F9" s="52">
        <v>9177</v>
      </c>
      <c r="G9" s="52">
        <v>9607.5</v>
      </c>
      <c r="H9" s="52">
        <v>9586.5</v>
      </c>
      <c r="I9" s="52">
        <v>14899.5</v>
      </c>
      <c r="J9" s="52">
        <v>8368.5</v>
      </c>
      <c r="K9" s="52">
        <v>7638.75</v>
      </c>
      <c r="L9" s="52">
        <v>7785.75</v>
      </c>
      <c r="M9" s="52">
        <v>6945.75</v>
      </c>
      <c r="N9" s="52">
        <f t="shared" si="0"/>
        <v>98616</v>
      </c>
      <c r="O9" s="44">
        <f t="shared" si="1"/>
        <v>0.25699122267191282</v>
      </c>
      <c r="P9" s="49"/>
    </row>
    <row r="10" spans="1:16" s="45" customFormat="1" x14ac:dyDescent="0.4">
      <c r="A10" s="49" t="s">
        <v>7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50</v>
      </c>
      <c r="I10" s="52">
        <v>0</v>
      </c>
      <c r="J10" s="52">
        <v>0</v>
      </c>
      <c r="K10" s="52">
        <v>25</v>
      </c>
      <c r="L10" s="52">
        <v>25</v>
      </c>
      <c r="M10" s="52">
        <v>25</v>
      </c>
      <c r="N10" s="52">
        <f t="shared" si="0"/>
        <v>125</v>
      </c>
      <c r="O10" s="44">
        <f t="shared" si="1"/>
        <v>3.2574737196792715E-4</v>
      </c>
      <c r="P10" s="49"/>
    </row>
    <row r="11" spans="1:16" s="45" customFormat="1" x14ac:dyDescent="0.4">
      <c r="A11" s="49" t="s">
        <v>8</v>
      </c>
      <c r="B11" s="52">
        <v>316</v>
      </c>
      <c r="C11" s="52">
        <v>231</v>
      </c>
      <c r="D11" s="52">
        <v>159</v>
      </c>
      <c r="E11" s="52">
        <v>316</v>
      </c>
      <c r="F11" s="52">
        <v>280</v>
      </c>
      <c r="G11" s="52">
        <v>698</v>
      </c>
      <c r="H11" s="52">
        <v>141</v>
      </c>
      <c r="I11" s="52">
        <v>291</v>
      </c>
      <c r="J11" s="52">
        <v>1713</v>
      </c>
      <c r="K11" s="52">
        <v>1234</v>
      </c>
      <c r="L11" s="52">
        <v>298</v>
      </c>
      <c r="M11" s="52">
        <v>473</v>
      </c>
      <c r="N11" s="52">
        <f t="shared" si="0"/>
        <v>6150</v>
      </c>
      <c r="O11" s="44">
        <f t="shared" si="1"/>
        <v>1.6026770700822018E-2</v>
      </c>
      <c r="P11" s="49"/>
    </row>
    <row r="12" spans="1:16" s="45" customFormat="1" x14ac:dyDescent="0.4">
      <c r="A12" s="49" t="s">
        <v>9</v>
      </c>
      <c r="B12" s="52">
        <v>8</v>
      </c>
      <c r="C12" s="52">
        <v>0</v>
      </c>
      <c r="D12" s="52">
        <v>10</v>
      </c>
      <c r="E12" s="52">
        <v>20</v>
      </c>
      <c r="F12" s="52">
        <v>64</v>
      </c>
      <c r="G12" s="52">
        <v>100</v>
      </c>
      <c r="H12" s="52">
        <v>90</v>
      </c>
      <c r="I12" s="52">
        <v>158</v>
      </c>
      <c r="J12" s="52">
        <v>92</v>
      </c>
      <c r="K12" s="52">
        <v>22</v>
      </c>
      <c r="L12" s="52">
        <v>4</v>
      </c>
      <c r="M12" s="52">
        <v>6</v>
      </c>
      <c r="N12" s="52">
        <f t="shared" si="0"/>
        <v>574</v>
      </c>
      <c r="O12" s="44">
        <f t="shared" si="1"/>
        <v>1.4958319320767216E-3</v>
      </c>
      <c r="P12" s="49"/>
    </row>
    <row r="13" spans="1:16" s="45" customFormat="1" x14ac:dyDescent="0.4">
      <c r="A13" s="49" t="s">
        <v>10</v>
      </c>
      <c r="B13" s="52">
        <f>99+10.8</f>
        <v>109.8</v>
      </c>
      <c r="C13" s="52">
        <f>82.5+9</f>
        <v>91.5</v>
      </c>
      <c r="D13" s="52">
        <f>115.5+12.6</f>
        <v>128.1</v>
      </c>
      <c r="E13" s="52">
        <f>93.5+10.2</f>
        <v>103.7</v>
      </c>
      <c r="F13" s="52">
        <f>110+12</f>
        <v>122</v>
      </c>
      <c r="G13" s="52">
        <f>8.4+77</f>
        <v>85.4</v>
      </c>
      <c r="H13" s="52">
        <v>0</v>
      </c>
      <c r="I13" s="52">
        <v>0</v>
      </c>
      <c r="J13" s="52">
        <f>104.5+11.4</f>
        <v>115.9</v>
      </c>
      <c r="K13" s="52">
        <f>115.5+12.6</f>
        <v>128.1</v>
      </c>
      <c r="L13" s="52">
        <f>93.5+10.2</f>
        <v>103.7</v>
      </c>
      <c r="M13" s="52">
        <f>82.5+9</f>
        <v>91.5</v>
      </c>
      <c r="N13" s="52">
        <f t="shared" si="0"/>
        <v>1079.6999999999998</v>
      </c>
      <c r="O13" s="44">
        <f t="shared" si="1"/>
        <v>2.8136755001101671E-3</v>
      </c>
      <c r="P13" s="49"/>
    </row>
    <row r="14" spans="1:16" s="45" customFormat="1" x14ac:dyDescent="0.4">
      <c r="A14" s="49" t="s">
        <v>11</v>
      </c>
      <c r="B14" s="52">
        <v>12</v>
      </c>
      <c r="C14" s="52">
        <v>9</v>
      </c>
      <c r="D14" s="52">
        <v>48.5</v>
      </c>
      <c r="E14" s="52">
        <v>26.5</v>
      </c>
      <c r="F14" s="52">
        <v>48.5</v>
      </c>
      <c r="G14" s="52">
        <v>55</v>
      </c>
      <c r="H14" s="52">
        <v>72</v>
      </c>
      <c r="I14" s="52">
        <v>29.5</v>
      </c>
      <c r="J14" s="52">
        <v>50</v>
      </c>
      <c r="K14" s="52">
        <v>49.5</v>
      </c>
      <c r="L14" s="52">
        <v>40</v>
      </c>
      <c r="M14" s="52">
        <v>48.25</v>
      </c>
      <c r="N14" s="52">
        <f t="shared" si="0"/>
        <v>488.75</v>
      </c>
      <c r="O14" s="44">
        <f t="shared" si="1"/>
        <v>1.2736722243945951E-3</v>
      </c>
      <c r="P14" s="49"/>
    </row>
    <row r="15" spans="1:16" s="45" customFormat="1" x14ac:dyDescent="0.4">
      <c r="A15" s="49" t="s">
        <v>12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f t="shared" si="0"/>
        <v>0</v>
      </c>
      <c r="O15" s="44">
        <f t="shared" si="1"/>
        <v>0</v>
      </c>
      <c r="P15" s="49"/>
    </row>
    <row r="16" spans="1:16" s="45" customFormat="1" x14ac:dyDescent="0.4">
      <c r="A16" s="49" t="s">
        <v>13</v>
      </c>
      <c r="B16" s="52">
        <v>0</v>
      </c>
      <c r="C16" s="52">
        <v>0</v>
      </c>
      <c r="D16" s="52">
        <v>0</v>
      </c>
      <c r="E16" s="52">
        <v>0</v>
      </c>
      <c r="F16" s="52">
        <v>1928</v>
      </c>
      <c r="G16" s="52">
        <v>2088</v>
      </c>
      <c r="H16" s="52">
        <v>2099</v>
      </c>
      <c r="I16" s="52">
        <v>3149</v>
      </c>
      <c r="J16" s="52">
        <v>1866</v>
      </c>
      <c r="K16" s="52">
        <v>0</v>
      </c>
      <c r="L16" s="52">
        <v>0</v>
      </c>
      <c r="M16" s="52">
        <v>0</v>
      </c>
      <c r="N16" s="52">
        <f t="shared" si="0"/>
        <v>11130</v>
      </c>
      <c r="O16" s="44">
        <f t="shared" si="1"/>
        <v>2.9004546000024233E-2</v>
      </c>
      <c r="P16" s="49"/>
    </row>
    <row r="17" spans="1:16" s="45" customFormat="1" x14ac:dyDescent="0.4">
      <c r="A17" s="49" t="s">
        <v>14</v>
      </c>
      <c r="B17" s="52">
        <v>106.25</v>
      </c>
      <c r="C17" s="52">
        <v>137.5</v>
      </c>
      <c r="D17" s="52">
        <v>112.5</v>
      </c>
      <c r="E17" s="52">
        <v>118.75</v>
      </c>
      <c r="F17" s="52">
        <v>131.25</v>
      </c>
      <c r="G17" s="52">
        <v>218.75</v>
      </c>
      <c r="H17" s="52">
        <v>225</v>
      </c>
      <c r="I17" s="52">
        <v>225</v>
      </c>
      <c r="J17" s="52">
        <v>125</v>
      </c>
      <c r="K17" s="52">
        <v>131.25</v>
      </c>
      <c r="L17" s="52">
        <v>143.75</v>
      </c>
      <c r="M17" s="52">
        <v>93.75</v>
      </c>
      <c r="N17" s="52">
        <f t="shared" si="0"/>
        <v>1768.75</v>
      </c>
      <c r="O17" s="44">
        <f t="shared" si="1"/>
        <v>4.6093253133461694E-3</v>
      </c>
      <c r="P17" s="49"/>
    </row>
    <row r="18" spans="1:16" s="45" customFormat="1" x14ac:dyDescent="0.4">
      <c r="A18" s="49" t="s">
        <v>15</v>
      </c>
      <c r="B18" s="52">
        <v>24.5</v>
      </c>
      <c r="C18" s="52">
        <v>63</v>
      </c>
      <c r="D18" s="52">
        <v>84</v>
      </c>
      <c r="E18" s="52">
        <v>126</v>
      </c>
      <c r="F18" s="52">
        <v>178.5</v>
      </c>
      <c r="G18" s="52">
        <v>136.5</v>
      </c>
      <c r="H18" s="52">
        <v>98</v>
      </c>
      <c r="I18" s="52">
        <v>84</v>
      </c>
      <c r="J18" s="52">
        <v>91</v>
      </c>
      <c r="K18" s="52">
        <v>80.5</v>
      </c>
      <c r="L18" s="52">
        <v>66.5</v>
      </c>
      <c r="M18" s="52">
        <v>17.5</v>
      </c>
      <c r="N18" s="52">
        <f t="shared" si="0"/>
        <v>1050</v>
      </c>
      <c r="O18" s="44">
        <f t="shared" si="1"/>
        <v>2.736277924530588E-3</v>
      </c>
      <c r="P18" s="49"/>
    </row>
    <row r="19" spans="1:16" s="45" customFormat="1" x14ac:dyDescent="0.4">
      <c r="A19" s="49" t="s">
        <v>16</v>
      </c>
      <c r="B19" s="52">
        <v>120.75</v>
      </c>
      <c r="C19" s="52">
        <v>94.5</v>
      </c>
      <c r="D19" s="52">
        <v>136.5</v>
      </c>
      <c r="E19" s="52">
        <v>136.5</v>
      </c>
      <c r="F19" s="52">
        <v>299.25</v>
      </c>
      <c r="G19" s="52">
        <v>304.5</v>
      </c>
      <c r="H19" s="52">
        <v>220.5</v>
      </c>
      <c r="I19" s="52">
        <v>241.5</v>
      </c>
      <c r="J19" s="52">
        <v>267.75</v>
      </c>
      <c r="K19" s="52">
        <v>241.5</v>
      </c>
      <c r="L19" s="52">
        <v>110.25</v>
      </c>
      <c r="M19" s="52">
        <v>110.25</v>
      </c>
      <c r="N19" s="52">
        <f t="shared" si="0"/>
        <v>2283.75</v>
      </c>
      <c r="O19" s="44">
        <f t="shared" si="1"/>
        <v>5.9514044858540293E-3</v>
      </c>
      <c r="P19" s="49"/>
    </row>
    <row r="20" spans="1:16" s="45" customFormat="1" x14ac:dyDescent="0.4">
      <c r="A20" s="49" t="s">
        <v>17</v>
      </c>
      <c r="B20" s="52">
        <v>623</v>
      </c>
      <c r="C20" s="52">
        <v>588</v>
      </c>
      <c r="D20" s="52">
        <v>497</v>
      </c>
      <c r="E20" s="52">
        <v>581</v>
      </c>
      <c r="F20" s="52">
        <v>539</v>
      </c>
      <c r="G20" s="52">
        <v>756</v>
      </c>
      <c r="H20" s="52">
        <v>791</v>
      </c>
      <c r="I20" s="52">
        <v>980</v>
      </c>
      <c r="J20" s="52">
        <v>819</v>
      </c>
      <c r="K20" s="52">
        <v>707</v>
      </c>
      <c r="L20" s="52">
        <v>749</v>
      </c>
      <c r="M20" s="52">
        <v>567</v>
      </c>
      <c r="N20" s="52">
        <f t="shared" si="0"/>
        <v>8197</v>
      </c>
      <c r="O20" s="44">
        <f t="shared" si="1"/>
        <v>2.1361209664168792E-2</v>
      </c>
      <c r="P20" s="49"/>
    </row>
    <row r="21" spans="1:16" s="45" customFormat="1" x14ac:dyDescent="0.4">
      <c r="A21" s="49" t="s">
        <v>18</v>
      </c>
      <c r="B21" s="52">
        <v>558</v>
      </c>
      <c r="C21" s="52">
        <v>495</v>
      </c>
      <c r="D21" s="52">
        <v>306</v>
      </c>
      <c r="E21" s="52">
        <v>342</v>
      </c>
      <c r="F21" s="52">
        <v>360</v>
      </c>
      <c r="G21" s="52">
        <v>522</v>
      </c>
      <c r="H21" s="52">
        <v>414</v>
      </c>
      <c r="I21" s="52">
        <v>540</v>
      </c>
      <c r="J21" s="52">
        <v>396</v>
      </c>
      <c r="K21" s="52">
        <v>1089</v>
      </c>
      <c r="L21" s="52">
        <v>333</v>
      </c>
      <c r="M21" s="52">
        <v>315</v>
      </c>
      <c r="N21" s="52">
        <f t="shared" si="0"/>
        <v>5670</v>
      </c>
      <c r="O21" s="44">
        <f t="shared" si="1"/>
        <v>1.4775900792465177E-2</v>
      </c>
      <c r="P21" s="49"/>
    </row>
    <row r="22" spans="1:16" s="45" customFormat="1" x14ac:dyDescent="0.4">
      <c r="A22" s="49" t="s">
        <v>19</v>
      </c>
      <c r="B22" s="52">
        <v>147</v>
      </c>
      <c r="C22" s="52">
        <v>189</v>
      </c>
      <c r="D22" s="52">
        <v>147</v>
      </c>
      <c r="E22" s="52">
        <v>252</v>
      </c>
      <c r="F22" s="52">
        <v>262.5</v>
      </c>
      <c r="G22" s="52">
        <v>357</v>
      </c>
      <c r="H22" s="52">
        <v>451.5</v>
      </c>
      <c r="I22" s="52">
        <v>367.5</v>
      </c>
      <c r="J22" s="52">
        <v>441</v>
      </c>
      <c r="K22" s="52">
        <v>304.5</v>
      </c>
      <c r="L22" s="52">
        <v>220.5</v>
      </c>
      <c r="M22" s="52">
        <v>336</v>
      </c>
      <c r="N22" s="52">
        <f t="shared" si="0"/>
        <v>3475.5</v>
      </c>
      <c r="O22" s="44">
        <f t="shared" si="1"/>
        <v>9.0570799301962473E-3</v>
      </c>
      <c r="P22" s="49"/>
    </row>
    <row r="23" spans="1:16" s="45" customFormat="1" x14ac:dyDescent="0.4">
      <c r="A23" s="49" t="s">
        <v>20</v>
      </c>
      <c r="B23" s="52">
        <v>378</v>
      </c>
      <c r="C23" s="52">
        <v>364</v>
      </c>
      <c r="D23" s="52">
        <v>406</v>
      </c>
      <c r="E23" s="52">
        <v>308</v>
      </c>
      <c r="F23" s="52">
        <v>322</v>
      </c>
      <c r="G23" s="52">
        <v>560</v>
      </c>
      <c r="H23" s="52">
        <v>700</v>
      </c>
      <c r="I23" s="52">
        <v>756</v>
      </c>
      <c r="J23" s="52">
        <v>714</v>
      </c>
      <c r="K23" s="52">
        <v>616</v>
      </c>
      <c r="L23" s="52">
        <v>518</v>
      </c>
      <c r="M23" s="52">
        <v>266</v>
      </c>
      <c r="N23" s="52">
        <f t="shared" si="0"/>
        <v>5908</v>
      </c>
      <c r="O23" s="44">
        <f t="shared" si="1"/>
        <v>1.5396123788692109E-2</v>
      </c>
      <c r="P23" s="49"/>
    </row>
    <row r="24" spans="1:16" s="45" customFormat="1" x14ac:dyDescent="0.4">
      <c r="A24" s="49" t="s">
        <v>21</v>
      </c>
      <c r="B24" s="52">
        <v>18</v>
      </c>
      <c r="C24" s="52">
        <v>54</v>
      </c>
      <c r="D24" s="52">
        <v>90</v>
      </c>
      <c r="E24" s="52">
        <v>144</v>
      </c>
      <c r="F24" s="52">
        <v>180</v>
      </c>
      <c r="G24" s="52">
        <v>180</v>
      </c>
      <c r="H24" s="52">
        <v>234</v>
      </c>
      <c r="I24" s="52">
        <v>306</v>
      </c>
      <c r="J24" s="52">
        <v>144</v>
      </c>
      <c r="K24" s="52">
        <v>90</v>
      </c>
      <c r="L24" s="52">
        <v>126</v>
      </c>
      <c r="M24" s="52">
        <v>162</v>
      </c>
      <c r="N24" s="52">
        <f t="shared" si="0"/>
        <v>1728</v>
      </c>
      <c r="O24" s="44">
        <f t="shared" si="1"/>
        <v>4.5031316700846254E-3</v>
      </c>
      <c r="P24" s="49"/>
    </row>
    <row r="25" spans="1:16" s="45" customFormat="1" x14ac:dyDescent="0.4">
      <c r="A25" s="49" t="s">
        <v>22</v>
      </c>
      <c r="B25" s="52">
        <v>0</v>
      </c>
      <c r="C25" s="52">
        <v>75</v>
      </c>
      <c r="D25" s="52">
        <v>175</v>
      </c>
      <c r="E25" s="52">
        <v>50</v>
      </c>
      <c r="F25" s="52">
        <v>125</v>
      </c>
      <c r="G25" s="52">
        <v>175</v>
      </c>
      <c r="H25" s="52">
        <v>75</v>
      </c>
      <c r="I25" s="52">
        <v>125</v>
      </c>
      <c r="J25" s="52">
        <v>100</v>
      </c>
      <c r="K25" s="52">
        <v>175</v>
      </c>
      <c r="L25" s="52">
        <v>100</v>
      </c>
      <c r="M25" s="52">
        <v>100</v>
      </c>
      <c r="N25" s="52">
        <f t="shared" si="0"/>
        <v>1275</v>
      </c>
      <c r="O25" s="44">
        <f t="shared" si="1"/>
        <v>3.322623194072857E-3</v>
      </c>
      <c r="P25" s="49"/>
    </row>
    <row r="26" spans="1:16" s="45" customFormat="1" x14ac:dyDescent="0.4">
      <c r="A26" s="49" t="s">
        <v>23</v>
      </c>
      <c r="B26" s="52">
        <v>5.25</v>
      </c>
      <c r="C26" s="52">
        <v>15.75</v>
      </c>
      <c r="D26" s="52">
        <v>47.25</v>
      </c>
      <c r="E26" s="52">
        <v>26.25</v>
      </c>
      <c r="F26" s="52">
        <v>120.75</v>
      </c>
      <c r="G26" s="52">
        <v>115.5</v>
      </c>
      <c r="H26" s="52">
        <v>94.5</v>
      </c>
      <c r="I26" s="52">
        <v>94.5</v>
      </c>
      <c r="J26" s="52">
        <v>68.25</v>
      </c>
      <c r="K26" s="52">
        <v>57.75</v>
      </c>
      <c r="L26" s="52">
        <v>84</v>
      </c>
      <c r="M26" s="52">
        <v>21</v>
      </c>
      <c r="N26" s="52">
        <f t="shared" si="0"/>
        <v>750.75</v>
      </c>
      <c r="O26" s="44">
        <f t="shared" si="1"/>
        <v>1.9564387160393706E-3</v>
      </c>
      <c r="P26" s="49"/>
    </row>
    <row r="27" spans="1:16" s="45" customFormat="1" x14ac:dyDescent="0.4">
      <c r="A27" s="49" t="s">
        <v>24</v>
      </c>
      <c r="B27" s="52">
        <v>100</v>
      </c>
      <c r="C27" s="52">
        <v>0</v>
      </c>
      <c r="D27" s="52">
        <v>50</v>
      </c>
      <c r="E27" s="52">
        <v>75</v>
      </c>
      <c r="F27" s="52">
        <v>0</v>
      </c>
      <c r="G27" s="52">
        <v>25</v>
      </c>
      <c r="H27" s="52">
        <v>75</v>
      </c>
      <c r="I27" s="52">
        <v>0</v>
      </c>
      <c r="J27" s="52">
        <v>150</v>
      </c>
      <c r="K27" s="52">
        <v>50</v>
      </c>
      <c r="L27" s="52">
        <v>75</v>
      </c>
      <c r="M27" s="52">
        <v>225</v>
      </c>
      <c r="N27" s="52">
        <f t="shared" si="0"/>
        <v>825</v>
      </c>
      <c r="O27" s="44">
        <f t="shared" si="1"/>
        <v>2.1499326549883195E-3</v>
      </c>
      <c r="P27" s="49"/>
    </row>
    <row r="28" spans="1:16" x14ac:dyDescent="0.4">
      <c r="A28" s="5" t="s">
        <v>25</v>
      </c>
      <c r="B28" s="9">
        <f t="shared" ref="B28:O28" si="2">SUM(B4:B27)</f>
        <v>24055.7</v>
      </c>
      <c r="C28" s="9">
        <f t="shared" si="2"/>
        <v>24024.5</v>
      </c>
      <c r="D28" s="9">
        <f t="shared" si="2"/>
        <v>26681.55</v>
      </c>
      <c r="E28" s="9">
        <f t="shared" si="2"/>
        <v>30136.7</v>
      </c>
      <c r="F28" s="9">
        <f t="shared" si="2"/>
        <v>37262.800000000003</v>
      </c>
      <c r="G28" s="9">
        <f t="shared" si="2"/>
        <v>38718.1</v>
      </c>
      <c r="H28" s="9">
        <f t="shared" si="2"/>
        <v>36202.1</v>
      </c>
      <c r="I28" s="9">
        <f t="shared" si="2"/>
        <v>46528.5</v>
      </c>
      <c r="J28" s="9">
        <f t="shared" si="2"/>
        <v>34708.100000000006</v>
      </c>
      <c r="K28" s="9">
        <f t="shared" si="2"/>
        <v>30317.149999999998</v>
      </c>
      <c r="L28" s="9">
        <f t="shared" si="2"/>
        <v>27997.95</v>
      </c>
      <c r="M28" s="9">
        <f t="shared" si="2"/>
        <v>27099.8</v>
      </c>
      <c r="N28" s="9">
        <f t="shared" si="2"/>
        <v>383732.95</v>
      </c>
      <c r="O28" s="10">
        <f t="shared" si="2"/>
        <v>0.99999999999999967</v>
      </c>
      <c r="P28" s="5"/>
    </row>
    <row r="29" spans="1:16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>
        <f>SUM(B28:M28)</f>
        <v>383732.95000000007</v>
      </c>
      <c r="O29" s="5"/>
    </row>
    <row r="30" spans="1:16" x14ac:dyDescent="0.4">
      <c r="A30" s="12"/>
    </row>
    <row r="32" spans="1:16" ht="16.8" x14ac:dyDescent="0.4">
      <c r="A32" t="s">
        <v>148</v>
      </c>
      <c r="N32" s="39">
        <f>+N4+N5+N9+N10+N12+N20+N21+N22+N23+N24+N25+N27</f>
        <v>287217.75</v>
      </c>
    </row>
    <row r="33" spans="1:14" ht="16.8" x14ac:dyDescent="0.4">
      <c r="A33" t="s">
        <v>149</v>
      </c>
      <c r="N33" s="50">
        <f>+N6+N7+N8+N17</f>
        <v>73582.25</v>
      </c>
    </row>
    <row r="34" spans="1:14" s="48" customFormat="1" ht="17.399999999999999" thickBot="1" x14ac:dyDescent="0.45">
      <c r="A34" s="46" t="s">
        <v>143</v>
      </c>
      <c r="N34" s="47">
        <f>SUM(N4:N27)</f>
        <v>383732.95</v>
      </c>
    </row>
    <row r="35" spans="1:14" ht="16.8" thickTop="1" x14ac:dyDescent="0.4"/>
  </sheetData>
  <phoneticPr fontId="14" type="noConversion"/>
  <printOptions horizontalCentered="1" verticalCentered="1"/>
  <pageMargins left="0.25" right="0.25" top="0.25" bottom="0.25" header="0" footer="0"/>
  <pageSetup scale="7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35"/>
  <sheetViews>
    <sheetView showGridLines="0" workbookViewId="0">
      <pane xSplit="1" ySplit="3" topLeftCell="K11" activePane="bottomRight" state="frozen"/>
      <selection pane="topRight"/>
      <selection pane="bottomLeft"/>
      <selection pane="bottomRight" activeCell="A33" sqref="A33:A35"/>
    </sheetView>
  </sheetViews>
  <sheetFormatPr defaultColWidth="9.75" defaultRowHeight="16.2" x14ac:dyDescent="0.4"/>
  <cols>
    <col min="1" max="1" width="20.75" style="4" customWidth="1"/>
    <col min="2" max="2" width="10.4140625" style="4" customWidth="1"/>
    <col min="3" max="3" width="9.33203125" style="4" customWidth="1"/>
    <col min="4" max="5" width="9.25" style="4" customWidth="1"/>
    <col min="6" max="6" width="9.4140625" style="4" customWidth="1"/>
    <col min="7" max="7" width="9.6640625" style="4" customWidth="1"/>
    <col min="8" max="8" width="9.25" style="4" customWidth="1"/>
    <col min="9" max="9" width="9.33203125" style="4" bestFit="1" customWidth="1"/>
    <col min="10" max="10" width="9.4140625" style="4" customWidth="1"/>
    <col min="11" max="12" width="9.33203125" style="4" customWidth="1"/>
    <col min="13" max="13" width="9.33203125" style="4" bestFit="1" customWidth="1"/>
    <col min="14" max="14" width="10.25" style="4" customWidth="1"/>
    <col min="15" max="15" width="8.08203125" style="4" customWidth="1"/>
    <col min="16" max="16384" width="9.75" style="4"/>
  </cols>
  <sheetData>
    <row r="1" spans="1:16" ht="18.600000000000001" x14ac:dyDescent="0.45">
      <c r="A1" s="3" t="s">
        <v>105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x14ac:dyDescent="0.4">
      <c r="A4" s="5" t="s">
        <v>1</v>
      </c>
      <c r="B4" s="9">
        <v>1216.8</v>
      </c>
      <c r="C4" s="9">
        <v>1521</v>
      </c>
      <c r="D4" s="9">
        <v>1926.6</v>
      </c>
      <c r="E4" s="9">
        <v>1690</v>
      </c>
      <c r="F4" s="9">
        <v>2974.4</v>
      </c>
      <c r="G4" s="9">
        <v>2366</v>
      </c>
      <c r="H4" s="9">
        <v>2163.1999999999998</v>
      </c>
      <c r="I4" s="9">
        <v>2873</v>
      </c>
      <c r="J4" s="9">
        <v>1656.2</v>
      </c>
      <c r="K4" s="9">
        <v>1723.8</v>
      </c>
      <c r="L4" s="9">
        <v>1521</v>
      </c>
      <c r="M4" s="9">
        <v>1521</v>
      </c>
      <c r="N4" s="9">
        <f t="shared" ref="N4:N27" si="0">SUM(B4:M4)</f>
        <v>23153</v>
      </c>
      <c r="O4" s="10">
        <f t="shared" ref="O4:O27" si="1">N4/$N$28</f>
        <v>5.7922401294191538E-2</v>
      </c>
      <c r="P4" s="5"/>
    </row>
    <row r="5" spans="1:16" x14ac:dyDescent="0.4">
      <c r="A5" s="5" t="s">
        <v>2</v>
      </c>
      <c r="B5" s="11">
        <v>10406.25</v>
      </c>
      <c r="C5" s="11">
        <v>10498.75</v>
      </c>
      <c r="D5" s="11">
        <v>13273.75</v>
      </c>
      <c r="E5" s="11">
        <v>13273.75</v>
      </c>
      <c r="F5" s="11">
        <v>13782.5</v>
      </c>
      <c r="G5" s="11">
        <v>13702.45</v>
      </c>
      <c r="H5" s="11">
        <v>12487.5</v>
      </c>
      <c r="I5" s="11">
        <v>13690</v>
      </c>
      <c r="J5" s="11">
        <v>11100</v>
      </c>
      <c r="K5" s="11">
        <v>11238.75</v>
      </c>
      <c r="L5" s="11">
        <v>10915</v>
      </c>
      <c r="M5" s="11">
        <v>10730</v>
      </c>
      <c r="N5" s="9">
        <f t="shared" si="0"/>
        <v>145098.70000000001</v>
      </c>
      <c r="O5" s="10">
        <f t="shared" si="1"/>
        <v>0.36299680942709411</v>
      </c>
      <c r="P5" s="5"/>
    </row>
    <row r="6" spans="1:16" x14ac:dyDescent="0.4">
      <c r="A6" s="5" t="s">
        <v>3</v>
      </c>
      <c r="B6" s="9">
        <v>1893.75</v>
      </c>
      <c r="C6" s="9">
        <v>2156.25</v>
      </c>
      <c r="D6" s="9">
        <v>2437.5</v>
      </c>
      <c r="E6" s="9">
        <v>2550</v>
      </c>
      <c r="F6" s="9">
        <v>3637.5</v>
      </c>
      <c r="G6" s="9">
        <v>2887.5</v>
      </c>
      <c r="H6" s="9">
        <v>3712.5</v>
      </c>
      <c r="I6" s="9">
        <v>4500</v>
      </c>
      <c r="J6" s="9">
        <v>2962.5</v>
      </c>
      <c r="K6" s="9">
        <v>2475</v>
      </c>
      <c r="L6" s="9">
        <v>2062.5</v>
      </c>
      <c r="M6" s="9">
        <v>2193.75</v>
      </c>
      <c r="N6" s="9">
        <f t="shared" si="0"/>
        <v>33468.75</v>
      </c>
      <c r="O6" s="10">
        <f t="shared" si="1"/>
        <v>8.372955419664721E-2</v>
      </c>
      <c r="P6" s="5"/>
    </row>
    <row r="7" spans="1:16" x14ac:dyDescent="0.4">
      <c r="A7" s="5" t="s">
        <v>4</v>
      </c>
      <c r="B7" s="9">
        <v>1218.75</v>
      </c>
      <c r="C7" s="9">
        <v>1358.75</v>
      </c>
      <c r="D7" s="9">
        <v>1773.75</v>
      </c>
      <c r="E7" s="9">
        <v>1823.75</v>
      </c>
      <c r="F7" s="9">
        <v>2508.75</v>
      </c>
      <c r="G7" s="9">
        <v>3096.25</v>
      </c>
      <c r="H7" s="9">
        <v>4660</v>
      </c>
      <c r="I7" s="9">
        <v>5507.5</v>
      </c>
      <c r="J7" s="9">
        <v>2922.5</v>
      </c>
      <c r="K7" s="9">
        <v>1897.5</v>
      </c>
      <c r="L7" s="9">
        <v>2042.5</v>
      </c>
      <c r="M7" s="9">
        <v>1885</v>
      </c>
      <c r="N7" s="9">
        <f t="shared" si="0"/>
        <v>30695</v>
      </c>
      <c r="O7" s="10">
        <f t="shared" si="1"/>
        <v>7.6790398986101543E-2</v>
      </c>
      <c r="P7" s="5"/>
    </row>
    <row r="8" spans="1:16" x14ac:dyDescent="0.4">
      <c r="A8" s="5" t="s">
        <v>5</v>
      </c>
      <c r="B8" s="9">
        <v>143.5</v>
      </c>
      <c r="C8" s="9">
        <v>228</v>
      </c>
      <c r="D8" s="9">
        <v>241.5</v>
      </c>
      <c r="E8" s="9">
        <v>285.5</v>
      </c>
      <c r="F8" s="9">
        <v>327.5</v>
      </c>
      <c r="G8" s="9">
        <v>395</v>
      </c>
      <c r="H8" s="9">
        <v>768</v>
      </c>
      <c r="I8" s="9">
        <v>839.5</v>
      </c>
      <c r="J8" s="9">
        <v>263</v>
      </c>
      <c r="K8" s="9">
        <v>202</v>
      </c>
      <c r="L8" s="9">
        <v>265.5</v>
      </c>
      <c r="M8" s="9">
        <v>245.5</v>
      </c>
      <c r="N8" s="9">
        <f t="shared" si="0"/>
        <v>4204.5</v>
      </c>
      <c r="O8" s="10">
        <f t="shared" si="1"/>
        <v>1.051849592888301E-2</v>
      </c>
      <c r="P8" s="5"/>
    </row>
    <row r="9" spans="1:16" x14ac:dyDescent="0.4">
      <c r="A9" s="5" t="s">
        <v>6</v>
      </c>
      <c r="B9" s="9">
        <v>4614.75</v>
      </c>
      <c r="C9" s="9">
        <v>5208</v>
      </c>
      <c r="D9" s="9">
        <v>6662.25</v>
      </c>
      <c r="E9" s="9">
        <v>6840.75</v>
      </c>
      <c r="F9" s="9">
        <v>8736</v>
      </c>
      <c r="G9" s="9">
        <v>9786</v>
      </c>
      <c r="H9" s="9">
        <v>13455.75</v>
      </c>
      <c r="I9" s="9">
        <v>14915.25</v>
      </c>
      <c r="J9" s="9">
        <v>8557.5</v>
      </c>
      <c r="K9" s="9">
        <v>7024.5</v>
      </c>
      <c r="L9" s="9">
        <v>7092.75</v>
      </c>
      <c r="M9" s="9">
        <v>6646.5</v>
      </c>
      <c r="N9" s="9">
        <f t="shared" si="0"/>
        <v>99540</v>
      </c>
      <c r="O9" s="10">
        <f t="shared" si="1"/>
        <v>0.24902154471661664</v>
      </c>
      <c r="P9" s="5"/>
    </row>
    <row r="10" spans="1:16" x14ac:dyDescent="0.4">
      <c r="A10" s="5" t="s">
        <v>7</v>
      </c>
      <c r="B10" s="9">
        <v>0</v>
      </c>
      <c r="C10" s="9">
        <v>25</v>
      </c>
      <c r="D10" s="9">
        <v>0</v>
      </c>
      <c r="E10" s="9">
        <v>0</v>
      </c>
      <c r="F10" s="9">
        <v>0</v>
      </c>
      <c r="G10" s="9">
        <v>25</v>
      </c>
      <c r="H10" s="9">
        <v>75</v>
      </c>
      <c r="I10" s="9">
        <v>25</v>
      </c>
      <c r="J10" s="9">
        <v>0</v>
      </c>
      <c r="K10" s="9"/>
      <c r="L10" s="9"/>
      <c r="M10" s="9"/>
      <c r="N10" s="9">
        <f t="shared" si="0"/>
        <v>150</v>
      </c>
      <c r="O10" s="10">
        <f t="shared" si="1"/>
        <v>3.7525850620346088E-4</v>
      </c>
      <c r="P10" s="5"/>
    </row>
    <row r="11" spans="1:16" x14ac:dyDescent="0.4">
      <c r="A11" s="5" t="s">
        <v>8</v>
      </c>
      <c r="B11" s="9">
        <v>627</v>
      </c>
      <c r="C11" s="9">
        <v>384</v>
      </c>
      <c r="D11" s="9">
        <v>33</v>
      </c>
      <c r="E11" s="9">
        <v>613</v>
      </c>
      <c r="F11" s="9">
        <v>92</v>
      </c>
      <c r="G11" s="9">
        <v>1220.75</v>
      </c>
      <c r="H11" s="9">
        <v>555</v>
      </c>
      <c r="I11" s="9">
        <v>684</v>
      </c>
      <c r="J11" s="9">
        <v>1680</v>
      </c>
      <c r="K11" s="9">
        <v>702</v>
      </c>
      <c r="L11" s="9">
        <v>487</v>
      </c>
      <c r="M11" s="9">
        <v>770</v>
      </c>
      <c r="N11" s="9">
        <f t="shared" si="0"/>
        <v>7847.75</v>
      </c>
      <c r="O11" s="10">
        <f t="shared" si="1"/>
        <v>1.9632899613721402E-2</v>
      </c>
      <c r="P11" s="5"/>
    </row>
    <row r="12" spans="1:16" x14ac:dyDescent="0.4">
      <c r="A12" s="5" t="s">
        <v>9</v>
      </c>
      <c r="B12" s="9">
        <v>0</v>
      </c>
      <c r="C12" s="9">
        <v>0</v>
      </c>
      <c r="D12" s="9">
        <v>12</v>
      </c>
      <c r="E12" s="9">
        <v>28</v>
      </c>
      <c r="F12" s="9">
        <v>22</v>
      </c>
      <c r="G12" s="9">
        <v>66</v>
      </c>
      <c r="H12" s="9">
        <v>70</v>
      </c>
      <c r="I12" s="9">
        <v>72</v>
      </c>
      <c r="J12" s="9">
        <v>80</v>
      </c>
      <c r="K12" s="9">
        <v>12</v>
      </c>
      <c r="L12" s="9">
        <v>8</v>
      </c>
      <c r="M12" s="9">
        <v>6</v>
      </c>
      <c r="N12" s="9">
        <f t="shared" si="0"/>
        <v>376</v>
      </c>
      <c r="O12" s="10">
        <f t="shared" si="1"/>
        <v>9.4064798888334193E-4</v>
      </c>
      <c r="P12" s="5"/>
    </row>
    <row r="13" spans="1:16" x14ac:dyDescent="0.4">
      <c r="A13" s="5" t="s">
        <v>10</v>
      </c>
      <c r="B13" s="9">
        <f>110+12</f>
        <v>122</v>
      </c>
      <c r="C13" s="9">
        <f>82.5+9</f>
        <v>91.5</v>
      </c>
      <c r="D13" s="9">
        <f>115.5+12.6</f>
        <v>128.1</v>
      </c>
      <c r="E13" s="9">
        <f>93.5+10.2</f>
        <v>103.7</v>
      </c>
      <c r="F13" s="9">
        <f>115.5+12.6</f>
        <v>128.1</v>
      </c>
      <c r="G13" s="9">
        <f>66+7.2</f>
        <v>73.2</v>
      </c>
      <c r="H13" s="9">
        <v>0</v>
      </c>
      <c r="I13" s="9">
        <v>0</v>
      </c>
      <c r="J13" s="9">
        <f>99+10.8</f>
        <v>109.8</v>
      </c>
      <c r="K13" s="9">
        <f>126.5+13.8</f>
        <v>140.30000000000001</v>
      </c>
      <c r="L13" s="9">
        <f>99+10.8</f>
        <v>109.8</v>
      </c>
      <c r="M13" s="9">
        <f>82.5+9</f>
        <v>91.5</v>
      </c>
      <c r="N13" s="9">
        <f t="shared" si="0"/>
        <v>1098</v>
      </c>
      <c r="O13" s="10">
        <f t="shared" si="1"/>
        <v>2.7468922654093337E-3</v>
      </c>
      <c r="P13" s="5"/>
    </row>
    <row r="14" spans="1:16" x14ac:dyDescent="0.4">
      <c r="A14" s="5" t="s">
        <v>11</v>
      </c>
      <c r="B14" s="9">
        <v>9</v>
      </c>
      <c r="C14" s="9">
        <v>21</v>
      </c>
      <c r="D14" s="9">
        <v>65.25</v>
      </c>
      <c r="E14" s="9">
        <v>70.75</v>
      </c>
      <c r="F14" s="9">
        <v>70.75</v>
      </c>
      <c r="G14" s="9">
        <v>73</v>
      </c>
      <c r="H14" s="9">
        <v>95.25</v>
      </c>
      <c r="I14" s="9">
        <v>55</v>
      </c>
      <c r="J14" s="9">
        <v>91.25</v>
      </c>
      <c r="K14" s="9">
        <v>66</v>
      </c>
      <c r="L14" s="9">
        <v>96.5</v>
      </c>
      <c r="M14" s="9">
        <v>16</v>
      </c>
      <c r="N14" s="9">
        <f t="shared" si="0"/>
        <v>729.75</v>
      </c>
      <c r="O14" s="10">
        <f t="shared" si="1"/>
        <v>1.8256326326798373E-3</v>
      </c>
      <c r="P14" s="5"/>
    </row>
    <row r="15" spans="1:16" x14ac:dyDescent="0.4">
      <c r="A15" s="5" t="s">
        <v>12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f t="shared" si="0"/>
        <v>0</v>
      </c>
      <c r="O15" s="10">
        <f t="shared" si="1"/>
        <v>0</v>
      </c>
      <c r="P15" s="5"/>
    </row>
    <row r="16" spans="1:16" x14ac:dyDescent="0.4">
      <c r="A16" s="5" t="s">
        <v>13</v>
      </c>
      <c r="B16" s="9">
        <v>0</v>
      </c>
      <c r="C16" s="9">
        <v>0</v>
      </c>
      <c r="D16" s="9">
        <v>0</v>
      </c>
      <c r="E16" s="9">
        <v>0</v>
      </c>
      <c r="F16" s="9">
        <v>1951</v>
      </c>
      <c r="G16" s="9">
        <v>2179</v>
      </c>
      <c r="H16" s="9">
        <v>3053</v>
      </c>
      <c r="I16" s="9">
        <v>3255</v>
      </c>
      <c r="J16" s="9">
        <v>2001</v>
      </c>
      <c r="K16" s="9">
        <v>0</v>
      </c>
      <c r="L16" s="9">
        <v>0</v>
      </c>
      <c r="M16" s="9">
        <v>0</v>
      </c>
      <c r="N16" s="9">
        <f t="shared" si="0"/>
        <v>12439</v>
      </c>
      <c r="O16" s="10">
        <f t="shared" si="1"/>
        <v>3.1118937057765667E-2</v>
      </c>
      <c r="P16" s="5"/>
    </row>
    <row r="17" spans="1:16" x14ac:dyDescent="0.4">
      <c r="A17" s="5" t="s">
        <v>14</v>
      </c>
      <c r="B17" s="9">
        <v>62.5</v>
      </c>
      <c r="C17" s="9">
        <v>137.5</v>
      </c>
      <c r="D17" s="9">
        <v>112.5</v>
      </c>
      <c r="E17" s="9">
        <v>118.75</v>
      </c>
      <c r="F17" s="9">
        <v>112.5</v>
      </c>
      <c r="G17" s="9">
        <v>231.25</v>
      </c>
      <c r="H17" s="9">
        <v>218.75</v>
      </c>
      <c r="I17" s="9">
        <v>250</v>
      </c>
      <c r="J17" s="9">
        <v>75</v>
      </c>
      <c r="K17" s="9">
        <v>100</v>
      </c>
      <c r="L17" s="9">
        <v>87.5</v>
      </c>
      <c r="M17" s="9">
        <v>150</v>
      </c>
      <c r="N17" s="9">
        <f t="shared" si="0"/>
        <v>1656.25</v>
      </c>
      <c r="O17" s="10">
        <f t="shared" si="1"/>
        <v>4.1434793393298804E-3</v>
      </c>
      <c r="P17" s="5"/>
    </row>
    <row r="18" spans="1:16" x14ac:dyDescent="0.4">
      <c r="A18" s="5" t="s">
        <v>15</v>
      </c>
      <c r="B18" s="9">
        <v>52.5</v>
      </c>
      <c r="C18" s="9">
        <v>28</v>
      </c>
      <c r="D18" s="9">
        <v>66.5</v>
      </c>
      <c r="E18" s="9">
        <v>73.5</v>
      </c>
      <c r="F18" s="9">
        <v>108.5</v>
      </c>
      <c r="G18" s="9">
        <v>126</v>
      </c>
      <c r="H18" s="9">
        <v>98</v>
      </c>
      <c r="I18" s="9">
        <v>87.5</v>
      </c>
      <c r="J18" s="9">
        <v>87.5</v>
      </c>
      <c r="K18" s="9">
        <v>84</v>
      </c>
      <c r="L18" s="9">
        <v>49</v>
      </c>
      <c r="M18" s="9">
        <v>42</v>
      </c>
      <c r="N18" s="9">
        <f t="shared" si="0"/>
        <v>903</v>
      </c>
      <c r="O18" s="10">
        <f t="shared" si="1"/>
        <v>2.2590562073448346E-3</v>
      </c>
      <c r="P18" s="5"/>
    </row>
    <row r="19" spans="1:16" x14ac:dyDescent="0.4">
      <c r="A19" s="5" t="s">
        <v>16</v>
      </c>
      <c r="B19" s="9">
        <v>78.75</v>
      </c>
      <c r="C19" s="9">
        <v>57.75</v>
      </c>
      <c r="D19" s="9">
        <v>131.25</v>
      </c>
      <c r="E19" s="9">
        <v>215.25</v>
      </c>
      <c r="F19" s="9">
        <v>393.75</v>
      </c>
      <c r="G19" s="9">
        <v>262.5</v>
      </c>
      <c r="H19" s="9">
        <v>367.5</v>
      </c>
      <c r="I19" s="9">
        <v>320.25</v>
      </c>
      <c r="J19" s="9">
        <v>199.5</v>
      </c>
      <c r="K19" s="9">
        <v>189</v>
      </c>
      <c r="L19" s="9">
        <v>152.25</v>
      </c>
      <c r="M19" s="9">
        <v>94.5</v>
      </c>
      <c r="N19" s="9">
        <f t="shared" si="0"/>
        <v>2462.25</v>
      </c>
      <c r="O19" s="10">
        <f t="shared" si="1"/>
        <v>6.1598683793298104E-3</v>
      </c>
      <c r="P19" s="5"/>
    </row>
    <row r="20" spans="1:16" x14ac:dyDescent="0.4">
      <c r="A20" s="5" t="s">
        <v>17</v>
      </c>
      <c r="B20" s="9">
        <v>686</v>
      </c>
      <c r="C20" s="9">
        <v>735</v>
      </c>
      <c r="D20" s="9">
        <v>777</v>
      </c>
      <c r="E20" s="9">
        <v>826</v>
      </c>
      <c r="F20" s="9">
        <v>798</v>
      </c>
      <c r="G20" s="9">
        <v>1008</v>
      </c>
      <c r="H20" s="9">
        <v>1442</v>
      </c>
      <c r="I20" s="9">
        <v>1232</v>
      </c>
      <c r="J20" s="9">
        <v>1309</v>
      </c>
      <c r="K20" s="9">
        <v>1057</v>
      </c>
      <c r="L20" s="9">
        <v>861</v>
      </c>
      <c r="M20" s="9">
        <v>861</v>
      </c>
      <c r="N20" s="9">
        <f t="shared" si="0"/>
        <v>11592</v>
      </c>
      <c r="O20" s="10">
        <f t="shared" si="1"/>
        <v>2.8999977359403458E-2</v>
      </c>
      <c r="P20" s="5"/>
    </row>
    <row r="21" spans="1:16" x14ac:dyDescent="0.4">
      <c r="A21" s="5" t="s">
        <v>18</v>
      </c>
      <c r="B21" s="9">
        <v>522</v>
      </c>
      <c r="C21" s="9">
        <v>423</v>
      </c>
      <c r="D21" s="9">
        <v>369</v>
      </c>
      <c r="E21" s="9">
        <v>783</v>
      </c>
      <c r="F21" s="9">
        <v>810</v>
      </c>
      <c r="G21" s="9">
        <v>747</v>
      </c>
      <c r="H21" s="9">
        <v>1170</v>
      </c>
      <c r="I21" s="9">
        <v>693</v>
      </c>
      <c r="J21" s="9">
        <v>765</v>
      </c>
      <c r="K21" s="9">
        <v>936</v>
      </c>
      <c r="L21" s="9">
        <v>477</v>
      </c>
      <c r="M21" s="9">
        <v>414</v>
      </c>
      <c r="N21" s="9">
        <f t="shared" si="0"/>
        <v>8109</v>
      </c>
      <c r="O21" s="10">
        <f t="shared" si="1"/>
        <v>2.0286474845359097E-2</v>
      </c>
      <c r="P21" s="5"/>
    </row>
    <row r="22" spans="1:16" x14ac:dyDescent="0.4">
      <c r="A22" s="5" t="s">
        <v>19</v>
      </c>
      <c r="B22" s="9">
        <v>189</v>
      </c>
      <c r="C22" s="9">
        <v>147</v>
      </c>
      <c r="D22" s="9">
        <v>178.5</v>
      </c>
      <c r="E22" s="9">
        <v>189</v>
      </c>
      <c r="F22" s="9">
        <v>346.5</v>
      </c>
      <c r="G22" s="9">
        <v>273</v>
      </c>
      <c r="H22" s="9">
        <v>451.5</v>
      </c>
      <c r="I22" s="9">
        <v>630</v>
      </c>
      <c r="J22" s="9">
        <v>315</v>
      </c>
      <c r="K22" s="9">
        <v>283.5</v>
      </c>
      <c r="L22" s="9">
        <v>168</v>
      </c>
      <c r="M22" s="9">
        <v>241.5</v>
      </c>
      <c r="N22" s="9">
        <f t="shared" si="0"/>
        <v>3412.5</v>
      </c>
      <c r="O22" s="10">
        <f t="shared" si="1"/>
        <v>8.5371310161287354E-3</v>
      </c>
      <c r="P22" s="5"/>
    </row>
    <row r="23" spans="1:16" x14ac:dyDescent="0.4">
      <c r="A23" s="5" t="s">
        <v>20</v>
      </c>
      <c r="B23" s="9">
        <v>378</v>
      </c>
      <c r="C23" s="9">
        <v>322</v>
      </c>
      <c r="D23" s="9">
        <v>224</v>
      </c>
      <c r="E23" s="9">
        <v>490</v>
      </c>
      <c r="F23" s="9">
        <v>588</v>
      </c>
      <c r="G23" s="9">
        <v>560</v>
      </c>
      <c r="H23" s="9">
        <v>1106</v>
      </c>
      <c r="I23" s="9">
        <v>1078</v>
      </c>
      <c r="J23" s="9">
        <v>602</v>
      </c>
      <c r="K23" s="9">
        <v>532</v>
      </c>
      <c r="L23" s="9">
        <v>350</v>
      </c>
      <c r="M23" s="9">
        <v>462</v>
      </c>
      <c r="N23" s="9">
        <f t="shared" si="0"/>
        <v>6692</v>
      </c>
      <c r="O23" s="10">
        <f t="shared" si="1"/>
        <v>1.6741532823423735E-2</v>
      </c>
      <c r="P23" s="5"/>
    </row>
    <row r="24" spans="1:16" x14ac:dyDescent="0.4">
      <c r="A24" s="5" t="s">
        <v>21</v>
      </c>
      <c r="B24" s="9">
        <v>108</v>
      </c>
      <c r="C24" s="9">
        <v>108</v>
      </c>
      <c r="D24" s="9">
        <v>234</v>
      </c>
      <c r="E24" s="9">
        <v>126</v>
      </c>
      <c r="F24" s="9">
        <v>126</v>
      </c>
      <c r="G24" s="9">
        <v>162</v>
      </c>
      <c r="H24" s="9">
        <v>270</v>
      </c>
      <c r="I24" s="9">
        <v>360</v>
      </c>
      <c r="J24" s="9">
        <v>198</v>
      </c>
      <c r="K24" s="9">
        <v>72</v>
      </c>
      <c r="L24" s="9">
        <v>234</v>
      </c>
      <c r="M24" s="9">
        <v>54</v>
      </c>
      <c r="N24" s="9">
        <f t="shared" si="0"/>
        <v>2052</v>
      </c>
      <c r="O24" s="10">
        <f t="shared" si="1"/>
        <v>5.1335363648633454E-3</v>
      </c>
      <c r="P24" s="5"/>
    </row>
    <row r="25" spans="1:16" x14ac:dyDescent="0.4">
      <c r="A25" s="5" t="s">
        <v>22</v>
      </c>
      <c r="B25" s="9">
        <v>0</v>
      </c>
      <c r="C25" s="9">
        <v>125</v>
      </c>
      <c r="D25" s="9">
        <v>50</v>
      </c>
      <c r="E25" s="9">
        <v>42</v>
      </c>
      <c r="F25" s="9">
        <v>325</v>
      </c>
      <c r="G25" s="9">
        <v>150</v>
      </c>
      <c r="H25" s="9">
        <v>375</v>
      </c>
      <c r="I25" s="9">
        <v>75</v>
      </c>
      <c r="J25" s="9">
        <v>75</v>
      </c>
      <c r="K25" s="9">
        <v>100</v>
      </c>
      <c r="L25" s="9">
        <v>325</v>
      </c>
      <c r="M25" s="9">
        <v>200</v>
      </c>
      <c r="N25" s="9">
        <f t="shared" si="0"/>
        <v>1842</v>
      </c>
      <c r="O25" s="10">
        <f t="shared" si="1"/>
        <v>4.6081744561785E-3</v>
      </c>
      <c r="P25" s="5"/>
    </row>
    <row r="26" spans="1:16" x14ac:dyDescent="0.4">
      <c r="A26" s="5" t="s">
        <v>23</v>
      </c>
      <c r="B26" s="9">
        <v>10.5</v>
      </c>
      <c r="C26" s="9">
        <v>10.5</v>
      </c>
      <c r="D26" s="9">
        <v>57.75</v>
      </c>
      <c r="E26" s="9">
        <v>0</v>
      </c>
      <c r="F26" s="9">
        <v>15.75</v>
      </c>
      <c r="G26" s="9">
        <v>47.25</v>
      </c>
      <c r="H26" s="9">
        <v>10.5</v>
      </c>
      <c r="I26" s="9">
        <v>10.5</v>
      </c>
      <c r="J26" s="9">
        <v>89.25</v>
      </c>
      <c r="K26" s="9">
        <v>78.75</v>
      </c>
      <c r="L26" s="9">
        <v>15.75</v>
      </c>
      <c r="M26" s="9">
        <v>31.5</v>
      </c>
      <c r="N26" s="9">
        <f t="shared" si="0"/>
        <v>378</v>
      </c>
      <c r="O26" s="10">
        <f t="shared" si="1"/>
        <v>9.4565143563272145E-4</v>
      </c>
      <c r="P26" s="5"/>
    </row>
    <row r="27" spans="1:16" x14ac:dyDescent="0.4">
      <c r="A27" s="5" t="s">
        <v>24</v>
      </c>
      <c r="B27" s="9">
        <v>25</v>
      </c>
      <c r="C27" s="9">
        <v>75</v>
      </c>
      <c r="D27" s="9">
        <v>225</v>
      </c>
      <c r="E27" s="9">
        <v>50</v>
      </c>
      <c r="F27" s="9">
        <v>75</v>
      </c>
      <c r="G27" s="9">
        <v>200</v>
      </c>
      <c r="H27" s="9">
        <v>200</v>
      </c>
      <c r="I27" s="9">
        <v>75</v>
      </c>
      <c r="J27" s="9">
        <v>325</v>
      </c>
      <c r="K27" s="9">
        <v>100</v>
      </c>
      <c r="L27" s="9">
        <v>450</v>
      </c>
      <c r="M27" s="9">
        <v>25</v>
      </c>
      <c r="N27" s="9">
        <f t="shared" si="0"/>
        <v>1825</v>
      </c>
      <c r="O27" s="10">
        <f t="shared" si="1"/>
        <v>4.5656451588087744E-3</v>
      </c>
      <c r="P27" s="5"/>
    </row>
    <row r="28" spans="1:16" x14ac:dyDescent="0.4">
      <c r="A28" s="5" t="s">
        <v>25</v>
      </c>
      <c r="B28" s="9">
        <f t="shared" ref="B28:O28" si="2">SUM(B4:B27)</f>
        <v>22364.05</v>
      </c>
      <c r="C28" s="9">
        <f t="shared" si="2"/>
        <v>23661</v>
      </c>
      <c r="D28" s="9">
        <f t="shared" si="2"/>
        <v>28979.199999999997</v>
      </c>
      <c r="E28" s="9">
        <f t="shared" si="2"/>
        <v>30192.7</v>
      </c>
      <c r="F28" s="9">
        <f t="shared" si="2"/>
        <v>37929.5</v>
      </c>
      <c r="G28" s="9">
        <f t="shared" si="2"/>
        <v>39637.149999999994</v>
      </c>
      <c r="H28" s="9">
        <f t="shared" si="2"/>
        <v>46804.45</v>
      </c>
      <c r="I28" s="9">
        <f t="shared" si="2"/>
        <v>51227.5</v>
      </c>
      <c r="J28" s="9">
        <f t="shared" si="2"/>
        <v>35464</v>
      </c>
      <c r="K28" s="9">
        <f t="shared" si="2"/>
        <v>29014.1</v>
      </c>
      <c r="L28" s="9">
        <f t="shared" si="2"/>
        <v>27770.05</v>
      </c>
      <c r="M28" s="9">
        <f t="shared" si="2"/>
        <v>26680.75</v>
      </c>
      <c r="N28" s="9">
        <f t="shared" si="2"/>
        <v>399724.45</v>
      </c>
      <c r="O28" s="10">
        <f t="shared" si="2"/>
        <v>0.99999999999999989</v>
      </c>
      <c r="P28" s="5"/>
    </row>
    <row r="29" spans="1:16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/>
      <c r="O29" s="5"/>
    </row>
    <row r="30" spans="1:16" x14ac:dyDescent="0.4">
      <c r="A30" s="12"/>
    </row>
    <row r="33" spans="1:14" ht="16.8" x14ac:dyDescent="0.4">
      <c r="A33" t="s">
        <v>148</v>
      </c>
      <c r="N33" s="39">
        <f>+N4+N5+N9+N10+N12+N20+N21+N22+N23+N24+N25+N27</f>
        <v>303842.2</v>
      </c>
    </row>
    <row r="34" spans="1:14" ht="16.8" x14ac:dyDescent="0.4">
      <c r="A34" t="s">
        <v>149</v>
      </c>
      <c r="N34" s="39">
        <f>+N6+N7+N8+N17</f>
        <v>70024.5</v>
      </c>
    </row>
    <row r="35" spans="1:14" ht="16.8" x14ac:dyDescent="0.4">
      <c r="A35" t="s">
        <v>143</v>
      </c>
      <c r="N35" s="39">
        <f>SUM(N4:N27)</f>
        <v>399724.45</v>
      </c>
    </row>
  </sheetData>
  <phoneticPr fontId="0" type="noConversion"/>
  <pageMargins left="0.24" right="0.24" top="1" bottom="1" header="0.5" footer="0.5"/>
  <pageSetup scale="7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30"/>
  <sheetViews>
    <sheetView showGridLines="0" workbookViewId="0">
      <pane xSplit="1" ySplit="3" topLeftCell="J16" activePane="bottomRight" state="frozen"/>
      <selection pane="topRight"/>
      <selection pane="bottomLeft"/>
      <selection pane="bottomRight" activeCell="N4" sqref="N4"/>
    </sheetView>
  </sheetViews>
  <sheetFormatPr defaultColWidth="9.75" defaultRowHeight="16.2" x14ac:dyDescent="0.4"/>
  <cols>
    <col min="1" max="1" width="20.75" style="4" customWidth="1"/>
    <col min="2" max="2" width="10.4140625" style="4" customWidth="1"/>
    <col min="3" max="3" width="9.33203125" style="4" customWidth="1"/>
    <col min="4" max="5" width="9.25" style="4" customWidth="1"/>
    <col min="6" max="6" width="9.4140625" style="4" customWidth="1"/>
    <col min="7" max="7" width="9.6640625" style="4" customWidth="1"/>
    <col min="8" max="8" width="9.25" style="4" customWidth="1"/>
    <col min="9" max="9" width="9.33203125" style="4" bestFit="1" customWidth="1"/>
    <col min="10" max="10" width="9.4140625" style="4" customWidth="1"/>
    <col min="11" max="12" width="9.33203125" style="4" customWidth="1"/>
    <col min="13" max="13" width="9.33203125" style="4" bestFit="1" customWidth="1"/>
    <col min="14" max="14" width="10.25" style="4" customWidth="1"/>
    <col min="15" max="15" width="8.08203125" style="4" customWidth="1"/>
    <col min="16" max="16384" width="9.75" style="4"/>
  </cols>
  <sheetData>
    <row r="1" spans="1:16" ht="18.600000000000001" x14ac:dyDescent="0.45">
      <c r="A1" s="3" t="s">
        <v>104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x14ac:dyDescent="0.4">
      <c r="A4" s="5" t="s">
        <v>1</v>
      </c>
      <c r="B4" s="9">
        <v>1554.8</v>
      </c>
      <c r="C4" s="9">
        <v>1385.8</v>
      </c>
      <c r="D4" s="9">
        <v>2061.8000000000002</v>
      </c>
      <c r="E4" s="9">
        <v>1892.8</v>
      </c>
      <c r="F4" s="9">
        <v>2568.8000000000002</v>
      </c>
      <c r="G4" s="9">
        <v>1284.4000000000001</v>
      </c>
      <c r="H4" s="9">
        <v>3075.8</v>
      </c>
      <c r="I4" s="9">
        <v>3447.6</v>
      </c>
      <c r="J4" s="9">
        <v>1892.8</v>
      </c>
      <c r="K4" s="9">
        <v>1926.6</v>
      </c>
      <c r="L4" s="9">
        <v>1622.4</v>
      </c>
      <c r="M4" s="9">
        <v>1690</v>
      </c>
      <c r="N4" s="9">
        <f t="shared" ref="N4:N27" si="0">SUM(B4:M4)</f>
        <v>24403.599999999999</v>
      </c>
      <c r="O4" s="10">
        <f t="shared" ref="O4:O27" si="1">N4/$N$28</f>
        <v>6.2001992917571365E-2</v>
      </c>
      <c r="P4" s="5"/>
    </row>
    <row r="5" spans="1:16" x14ac:dyDescent="0.4">
      <c r="A5" s="5" t="s">
        <v>2</v>
      </c>
      <c r="B5" s="11">
        <v>11331.25</v>
      </c>
      <c r="C5" s="11">
        <v>10776.25</v>
      </c>
      <c r="D5" s="11">
        <v>12857.5</v>
      </c>
      <c r="E5" s="11">
        <v>12950</v>
      </c>
      <c r="F5" s="11">
        <v>13643.75</v>
      </c>
      <c r="G5" s="11">
        <v>8602.5</v>
      </c>
      <c r="H5" s="11">
        <v>12672.5</v>
      </c>
      <c r="I5" s="11">
        <v>11932.5</v>
      </c>
      <c r="J5" s="11">
        <v>11007.5</v>
      </c>
      <c r="K5" s="11">
        <v>11423.75</v>
      </c>
      <c r="L5" s="11">
        <v>11377.5</v>
      </c>
      <c r="M5" s="11">
        <v>12487.5</v>
      </c>
      <c r="N5" s="9">
        <f t="shared" si="0"/>
        <v>141062.5</v>
      </c>
      <c r="O5" s="10">
        <f t="shared" si="1"/>
        <v>0.35839614343518622</v>
      </c>
      <c r="P5" s="5"/>
    </row>
    <row r="6" spans="1:16" x14ac:dyDescent="0.4">
      <c r="A6" s="5" t="s">
        <v>3</v>
      </c>
      <c r="B6" s="9">
        <v>1912.5</v>
      </c>
      <c r="C6" s="9">
        <v>1687.5</v>
      </c>
      <c r="D6" s="9">
        <v>2193.75</v>
      </c>
      <c r="E6" s="9">
        <v>2512.5</v>
      </c>
      <c r="F6" s="9">
        <v>2718.75</v>
      </c>
      <c r="G6" s="9">
        <v>5175</v>
      </c>
      <c r="H6" s="9">
        <v>3600</v>
      </c>
      <c r="I6" s="9">
        <v>3806.25</v>
      </c>
      <c r="J6" s="9">
        <v>2456.25</v>
      </c>
      <c r="K6" s="9">
        <v>2662.5</v>
      </c>
      <c r="L6" s="9">
        <v>2343.75</v>
      </c>
      <c r="M6" s="9">
        <v>2100</v>
      </c>
      <c r="N6" s="9">
        <f t="shared" si="0"/>
        <v>33168.75</v>
      </c>
      <c r="O6" s="10">
        <f t="shared" si="1"/>
        <v>8.4271525618543786E-2</v>
      </c>
      <c r="P6" s="5"/>
    </row>
    <row r="7" spans="1:16" x14ac:dyDescent="0.4">
      <c r="A7" s="5" t="s">
        <v>4</v>
      </c>
      <c r="B7" s="9">
        <v>1367.5</v>
      </c>
      <c r="C7" s="9">
        <v>1206.25</v>
      </c>
      <c r="D7" s="9">
        <v>1696.25</v>
      </c>
      <c r="E7" s="9">
        <v>1900</v>
      </c>
      <c r="F7" s="9">
        <v>2646.25</v>
      </c>
      <c r="G7" s="9">
        <v>3401.25</v>
      </c>
      <c r="H7" s="9">
        <v>4921.25</v>
      </c>
      <c r="I7" s="9">
        <v>4788.75</v>
      </c>
      <c r="J7" s="9">
        <v>3168.75</v>
      </c>
      <c r="K7" s="9">
        <v>2047.5</v>
      </c>
      <c r="L7" s="9">
        <v>1928.75</v>
      </c>
      <c r="M7" s="9">
        <v>1928.75</v>
      </c>
      <c r="N7" s="9">
        <f t="shared" si="0"/>
        <v>31001.25</v>
      </c>
      <c r="O7" s="10">
        <f t="shared" si="1"/>
        <v>7.8764579116845854E-2</v>
      </c>
      <c r="P7" s="5"/>
    </row>
    <row r="8" spans="1:16" x14ac:dyDescent="0.4">
      <c r="A8" s="5" t="s">
        <v>5</v>
      </c>
      <c r="B8" s="9">
        <v>126.5</v>
      </c>
      <c r="C8" s="9">
        <v>156.5</v>
      </c>
      <c r="D8" s="9">
        <v>188.5</v>
      </c>
      <c r="E8" s="9">
        <v>285</v>
      </c>
      <c r="F8" s="9">
        <v>280</v>
      </c>
      <c r="G8" s="9">
        <v>345.5</v>
      </c>
      <c r="H8" s="9">
        <v>731</v>
      </c>
      <c r="I8" s="9">
        <v>747.5</v>
      </c>
      <c r="J8" s="9">
        <v>295.5</v>
      </c>
      <c r="K8" s="9">
        <v>181.5</v>
      </c>
      <c r="L8" s="9">
        <v>208</v>
      </c>
      <c r="M8" s="9">
        <v>231</v>
      </c>
      <c r="N8" s="9">
        <f t="shared" si="0"/>
        <v>3776.5</v>
      </c>
      <c r="O8" s="10">
        <f t="shared" si="1"/>
        <v>9.5949173996135104E-3</v>
      </c>
      <c r="P8" s="5"/>
    </row>
    <row r="9" spans="1:16" x14ac:dyDescent="0.4">
      <c r="A9" s="5" t="s">
        <v>6</v>
      </c>
      <c r="B9" s="9">
        <v>5092.5</v>
      </c>
      <c r="C9" s="9">
        <v>4966.5</v>
      </c>
      <c r="D9" s="9">
        <v>6562.5</v>
      </c>
      <c r="E9" s="9">
        <v>7035</v>
      </c>
      <c r="F9" s="9">
        <v>8694</v>
      </c>
      <c r="G9" s="9">
        <v>5349.75</v>
      </c>
      <c r="H9" s="9">
        <v>13172.25</v>
      </c>
      <c r="I9" s="9">
        <v>13875.75</v>
      </c>
      <c r="J9" s="9">
        <v>9544.5</v>
      </c>
      <c r="K9" s="9">
        <v>7691.25</v>
      </c>
      <c r="L9" s="9">
        <v>7129.5</v>
      </c>
      <c r="M9" s="9">
        <v>7738.5</v>
      </c>
      <c r="N9" s="9">
        <f t="shared" si="0"/>
        <v>96852</v>
      </c>
      <c r="O9" s="10">
        <f t="shared" si="1"/>
        <v>0.24607094928832721</v>
      </c>
      <c r="P9" s="5"/>
    </row>
    <row r="10" spans="1:16" x14ac:dyDescent="0.4">
      <c r="A10" s="5" t="s">
        <v>7</v>
      </c>
      <c r="B10" s="9">
        <v>25</v>
      </c>
      <c r="C10" s="9">
        <v>125</v>
      </c>
      <c r="D10" s="9">
        <v>75</v>
      </c>
      <c r="E10" s="9">
        <v>50</v>
      </c>
      <c r="F10" s="9">
        <v>150</v>
      </c>
      <c r="G10" s="9">
        <v>25</v>
      </c>
      <c r="H10" s="9">
        <v>0</v>
      </c>
      <c r="I10" s="9">
        <v>75</v>
      </c>
      <c r="J10" s="9">
        <v>25</v>
      </c>
      <c r="K10" s="9">
        <v>50</v>
      </c>
      <c r="L10" s="9">
        <v>0</v>
      </c>
      <c r="M10" s="9">
        <v>25</v>
      </c>
      <c r="N10" s="9">
        <f t="shared" si="0"/>
        <v>625</v>
      </c>
      <c r="O10" s="10">
        <f t="shared" si="1"/>
        <v>1.58793151721394E-3</v>
      </c>
      <c r="P10" s="5"/>
    </row>
    <row r="11" spans="1:16" x14ac:dyDescent="0.4">
      <c r="A11" s="5" t="s">
        <v>8</v>
      </c>
      <c r="B11" s="9">
        <v>205</v>
      </c>
      <c r="C11" s="9">
        <v>527</v>
      </c>
      <c r="D11" s="9">
        <v>141</v>
      </c>
      <c r="E11" s="9">
        <v>573</v>
      </c>
      <c r="F11" s="9">
        <v>531</v>
      </c>
      <c r="G11" s="9">
        <v>362</v>
      </c>
      <c r="H11" s="9">
        <v>666</v>
      </c>
      <c r="I11" s="9">
        <v>650.25</v>
      </c>
      <c r="J11" s="9">
        <v>537</v>
      </c>
      <c r="K11" s="9">
        <v>684</v>
      </c>
      <c r="L11" s="9">
        <v>473</v>
      </c>
      <c r="M11" s="9">
        <v>641</v>
      </c>
      <c r="N11" s="9">
        <f t="shared" si="0"/>
        <v>5990.25</v>
      </c>
      <c r="O11" s="10">
        <f t="shared" si="1"/>
        <v>1.5219370833585285E-2</v>
      </c>
      <c r="P11" s="5"/>
    </row>
    <row r="12" spans="1:16" x14ac:dyDescent="0.4">
      <c r="A12" s="5" t="s">
        <v>9</v>
      </c>
      <c r="B12" s="9">
        <v>8</v>
      </c>
      <c r="C12" s="9">
        <v>0</v>
      </c>
      <c r="D12" s="9">
        <v>4</v>
      </c>
      <c r="E12" s="9">
        <v>16</v>
      </c>
      <c r="F12" s="9">
        <v>44</v>
      </c>
      <c r="G12" s="9">
        <v>32</v>
      </c>
      <c r="H12" s="9">
        <v>76</v>
      </c>
      <c r="I12" s="9">
        <v>72</v>
      </c>
      <c r="J12" s="9">
        <v>54</v>
      </c>
      <c r="K12" s="9">
        <v>4</v>
      </c>
      <c r="L12" s="9">
        <v>12</v>
      </c>
      <c r="M12" s="9">
        <v>4</v>
      </c>
      <c r="N12" s="9">
        <f t="shared" si="0"/>
        <v>326</v>
      </c>
      <c r="O12" s="10">
        <f t="shared" si="1"/>
        <v>8.282650793787911E-4</v>
      </c>
      <c r="P12" s="5"/>
    </row>
    <row r="13" spans="1:16" x14ac:dyDescent="0.4">
      <c r="A13" s="5" t="s">
        <v>10</v>
      </c>
      <c r="B13" s="9">
        <f>115.5+12.6</f>
        <v>128.1</v>
      </c>
      <c r="C13" s="9">
        <f>104.5+11.4</f>
        <v>115.9</v>
      </c>
      <c r="D13" s="9">
        <f>121+13.2</f>
        <v>134.19999999999999</v>
      </c>
      <c r="E13" s="9">
        <f>88+9.6</f>
        <v>97.6</v>
      </c>
      <c r="F13" s="9">
        <f>121+13.2</f>
        <v>134.19999999999999</v>
      </c>
      <c r="G13" s="9">
        <f>60.5+6.6</f>
        <v>67.099999999999994</v>
      </c>
      <c r="H13" s="9">
        <v>0</v>
      </c>
      <c r="I13" s="9">
        <v>0</v>
      </c>
      <c r="J13" s="9">
        <f>104.5+11.4</f>
        <v>115.9</v>
      </c>
      <c r="K13" s="9">
        <f>115.5+12.6</f>
        <v>128.1</v>
      </c>
      <c r="L13" s="9">
        <f>104.5+11.4</f>
        <v>115.9</v>
      </c>
      <c r="M13" s="9">
        <f>66+7.2</f>
        <v>73.2</v>
      </c>
      <c r="N13" s="9">
        <f t="shared" si="0"/>
        <v>1110.2</v>
      </c>
      <c r="O13" s="10">
        <f t="shared" si="1"/>
        <v>2.820674512657466E-3</v>
      </c>
      <c r="P13" s="5"/>
    </row>
    <row r="14" spans="1:16" x14ac:dyDescent="0.4">
      <c r="A14" s="5" t="s">
        <v>11</v>
      </c>
      <c r="B14" s="9">
        <v>20.5</v>
      </c>
      <c r="C14" s="9">
        <v>11</v>
      </c>
      <c r="D14" s="9">
        <v>30.5</v>
      </c>
      <c r="E14" s="9">
        <v>16</v>
      </c>
      <c r="F14" s="9">
        <v>57.25</v>
      </c>
      <c r="G14" s="9">
        <v>48.5</v>
      </c>
      <c r="H14" s="9">
        <v>120</v>
      </c>
      <c r="I14" s="9">
        <v>106.5</v>
      </c>
      <c r="J14" s="9">
        <v>41.25</v>
      </c>
      <c r="K14" s="9">
        <v>213.25</v>
      </c>
      <c r="L14" s="9">
        <v>78.5</v>
      </c>
      <c r="M14" s="9">
        <v>31</v>
      </c>
      <c r="N14" s="9">
        <f t="shared" si="0"/>
        <v>774.25</v>
      </c>
      <c r="O14" s="10">
        <f t="shared" si="1"/>
        <v>1.9671295635246286E-3</v>
      </c>
      <c r="P14" s="5"/>
    </row>
    <row r="15" spans="1:16" x14ac:dyDescent="0.4">
      <c r="A15" s="5" t="s">
        <v>12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f t="shared" si="0"/>
        <v>0</v>
      </c>
      <c r="O15" s="10">
        <f t="shared" si="1"/>
        <v>0</v>
      </c>
      <c r="P15" s="5"/>
    </row>
    <row r="16" spans="1:16" x14ac:dyDescent="0.4">
      <c r="A16" s="5" t="s">
        <v>13</v>
      </c>
      <c r="B16" s="9">
        <v>0</v>
      </c>
      <c r="C16" s="9">
        <v>0</v>
      </c>
      <c r="D16" s="9">
        <v>0</v>
      </c>
      <c r="E16" s="9">
        <v>0</v>
      </c>
      <c r="F16" s="9">
        <v>2000</v>
      </c>
      <c r="G16" s="9">
        <v>1257</v>
      </c>
      <c r="H16" s="9">
        <v>2934</v>
      </c>
      <c r="I16" s="9">
        <v>3094</v>
      </c>
      <c r="J16" s="9">
        <v>2139</v>
      </c>
      <c r="K16" s="9">
        <v>0</v>
      </c>
      <c r="L16" s="9">
        <v>0</v>
      </c>
      <c r="M16" s="9">
        <v>0</v>
      </c>
      <c r="N16" s="9">
        <f t="shared" si="0"/>
        <v>11424</v>
      </c>
      <c r="O16" s="10">
        <f t="shared" si="1"/>
        <v>2.9024847444243281E-2</v>
      </c>
      <c r="P16" s="5"/>
    </row>
    <row r="17" spans="1:16" x14ac:dyDescent="0.4">
      <c r="A17" s="5" t="s">
        <v>14</v>
      </c>
      <c r="B17" s="9">
        <v>62.5</v>
      </c>
      <c r="C17" s="9">
        <v>68.75</v>
      </c>
      <c r="D17" s="9">
        <v>112.5</v>
      </c>
      <c r="E17" s="9">
        <v>162.5</v>
      </c>
      <c r="F17" s="9">
        <v>87.5</v>
      </c>
      <c r="G17" s="9">
        <v>156.25</v>
      </c>
      <c r="H17" s="9">
        <v>168.75</v>
      </c>
      <c r="I17" s="9">
        <v>231.25</v>
      </c>
      <c r="J17" s="9">
        <v>93.75</v>
      </c>
      <c r="K17" s="9">
        <v>100</v>
      </c>
      <c r="L17" s="9">
        <v>68.75</v>
      </c>
      <c r="M17" s="9">
        <v>137.5</v>
      </c>
      <c r="N17" s="9">
        <f t="shared" si="0"/>
        <v>1450</v>
      </c>
      <c r="O17" s="10">
        <f t="shared" si="1"/>
        <v>3.6840011199363405E-3</v>
      </c>
      <c r="P17" s="5"/>
    </row>
    <row r="18" spans="1:16" x14ac:dyDescent="0.4">
      <c r="A18" s="5" t="s">
        <v>15</v>
      </c>
      <c r="B18" s="9">
        <v>63</v>
      </c>
      <c r="C18" s="9">
        <v>42</v>
      </c>
      <c r="D18" s="9">
        <v>91</v>
      </c>
      <c r="E18" s="9">
        <v>84</v>
      </c>
      <c r="F18" s="9">
        <v>98</v>
      </c>
      <c r="G18" s="9">
        <v>49</v>
      </c>
      <c r="H18" s="9">
        <v>94.5</v>
      </c>
      <c r="I18" s="9">
        <v>84</v>
      </c>
      <c r="J18" s="9">
        <v>73.5</v>
      </c>
      <c r="K18" s="9">
        <v>31.5</v>
      </c>
      <c r="L18" s="9">
        <v>108.5</v>
      </c>
      <c r="M18" s="9">
        <v>66.5</v>
      </c>
      <c r="N18" s="9">
        <f t="shared" si="0"/>
        <v>885.5</v>
      </c>
      <c r="O18" s="10">
        <f t="shared" si="1"/>
        <v>2.2497813735887101E-3</v>
      </c>
      <c r="P18" s="5"/>
    </row>
    <row r="19" spans="1:16" x14ac:dyDescent="0.4">
      <c r="A19" s="5" t="s">
        <v>16</v>
      </c>
      <c r="B19" s="9">
        <v>78.75</v>
      </c>
      <c r="C19" s="9">
        <v>68.25</v>
      </c>
      <c r="D19" s="9">
        <v>63</v>
      </c>
      <c r="E19" s="9">
        <v>136.5</v>
      </c>
      <c r="F19" s="9">
        <v>262.5</v>
      </c>
      <c r="G19" s="9">
        <v>120.75</v>
      </c>
      <c r="H19" s="9">
        <v>288.75</v>
      </c>
      <c r="I19" s="9">
        <v>241.5</v>
      </c>
      <c r="J19" s="9">
        <v>194.25</v>
      </c>
      <c r="K19" s="9">
        <v>131.25</v>
      </c>
      <c r="L19" s="9">
        <v>141.75</v>
      </c>
      <c r="M19" s="9">
        <v>73.5</v>
      </c>
      <c r="N19" s="9">
        <f t="shared" si="0"/>
        <v>1800.75</v>
      </c>
      <c r="O19" s="10">
        <f t="shared" si="1"/>
        <v>4.5751482873968036E-3</v>
      </c>
      <c r="P19" s="5"/>
    </row>
    <row r="20" spans="1:16" x14ac:dyDescent="0.4">
      <c r="A20" s="5" t="s">
        <v>17</v>
      </c>
      <c r="B20" s="9">
        <v>763</v>
      </c>
      <c r="C20" s="9">
        <v>700</v>
      </c>
      <c r="D20" s="9">
        <v>833</v>
      </c>
      <c r="E20" s="9">
        <v>651</v>
      </c>
      <c r="F20" s="9">
        <v>896</v>
      </c>
      <c r="G20" s="9">
        <v>609</v>
      </c>
      <c r="H20" s="9">
        <v>1071</v>
      </c>
      <c r="I20" s="9">
        <v>1001</v>
      </c>
      <c r="J20" s="9">
        <v>896</v>
      </c>
      <c r="K20" s="9">
        <v>1253</v>
      </c>
      <c r="L20" s="9">
        <v>805</v>
      </c>
      <c r="M20" s="9">
        <v>784</v>
      </c>
      <c r="N20" s="9">
        <f t="shared" si="0"/>
        <v>10262</v>
      </c>
      <c r="O20" s="10">
        <f t="shared" si="1"/>
        <v>2.6072565167439121E-2</v>
      </c>
      <c r="P20" s="5"/>
    </row>
    <row r="21" spans="1:16" x14ac:dyDescent="0.4">
      <c r="A21" s="5" t="s">
        <v>18</v>
      </c>
      <c r="B21" s="9">
        <v>441</v>
      </c>
      <c r="C21" s="9">
        <v>261</v>
      </c>
      <c r="D21" s="9">
        <v>648</v>
      </c>
      <c r="E21" s="9">
        <v>432</v>
      </c>
      <c r="F21" s="9">
        <v>720</v>
      </c>
      <c r="G21" s="9">
        <v>405</v>
      </c>
      <c r="H21" s="9">
        <v>873</v>
      </c>
      <c r="I21" s="9">
        <v>837</v>
      </c>
      <c r="J21" s="9">
        <v>540</v>
      </c>
      <c r="K21" s="9">
        <v>936</v>
      </c>
      <c r="L21" s="9">
        <v>711</v>
      </c>
      <c r="M21" s="9">
        <v>855</v>
      </c>
      <c r="N21" s="9">
        <f t="shared" si="0"/>
        <v>7659</v>
      </c>
      <c r="O21" s="10">
        <f t="shared" si="1"/>
        <v>1.9459147984546506E-2</v>
      </c>
      <c r="P21" s="5"/>
    </row>
    <row r="22" spans="1:16" x14ac:dyDescent="0.4">
      <c r="A22" s="5" t="s">
        <v>19</v>
      </c>
      <c r="B22" s="9">
        <v>147</v>
      </c>
      <c r="C22" s="9">
        <v>262.5</v>
      </c>
      <c r="D22" s="9">
        <v>357</v>
      </c>
      <c r="E22" s="9">
        <v>388.5</v>
      </c>
      <c r="F22" s="9">
        <v>346.5</v>
      </c>
      <c r="G22" s="9">
        <v>472.5</v>
      </c>
      <c r="H22" s="9">
        <v>682.5</v>
      </c>
      <c r="I22" s="9">
        <v>829.5</v>
      </c>
      <c r="J22" s="9">
        <v>514.5</v>
      </c>
      <c r="K22" s="9">
        <v>546</v>
      </c>
      <c r="L22" s="9">
        <v>325.5</v>
      </c>
      <c r="M22" s="9">
        <v>315</v>
      </c>
      <c r="N22" s="9">
        <f t="shared" si="0"/>
        <v>5187</v>
      </c>
      <c r="O22" s="10">
        <f t="shared" si="1"/>
        <v>1.3178561247661929E-2</v>
      </c>
      <c r="P22" s="5"/>
    </row>
    <row r="23" spans="1:16" x14ac:dyDescent="0.4">
      <c r="A23" s="5" t="s">
        <v>20</v>
      </c>
      <c r="B23" s="9">
        <v>252</v>
      </c>
      <c r="C23" s="9">
        <v>168</v>
      </c>
      <c r="D23" s="9">
        <v>406</v>
      </c>
      <c r="E23" s="9">
        <v>392</v>
      </c>
      <c r="F23" s="9">
        <v>560</v>
      </c>
      <c r="G23" s="9">
        <v>420</v>
      </c>
      <c r="H23" s="9">
        <v>1190</v>
      </c>
      <c r="I23" s="9">
        <v>1148</v>
      </c>
      <c r="J23" s="9">
        <v>770</v>
      </c>
      <c r="K23" s="9">
        <v>546</v>
      </c>
      <c r="L23" s="9">
        <v>322</v>
      </c>
      <c r="M23" s="9">
        <v>490</v>
      </c>
      <c r="N23" s="9">
        <f t="shared" si="0"/>
        <v>6664</v>
      </c>
      <c r="O23" s="10">
        <f t="shared" si="1"/>
        <v>1.6931161009141913E-2</v>
      </c>
      <c r="P23" s="5"/>
    </row>
    <row r="24" spans="1:16" x14ac:dyDescent="0.4">
      <c r="A24" s="5" t="s">
        <v>21</v>
      </c>
      <c r="B24" s="9">
        <v>324</v>
      </c>
      <c r="C24" s="9">
        <v>162</v>
      </c>
      <c r="D24" s="9">
        <v>108</v>
      </c>
      <c r="E24" s="9">
        <v>234</v>
      </c>
      <c r="F24" s="9">
        <v>432</v>
      </c>
      <c r="G24" s="9">
        <v>144</v>
      </c>
      <c r="H24" s="9">
        <v>198</v>
      </c>
      <c r="I24" s="9">
        <v>486</v>
      </c>
      <c r="J24" s="9">
        <v>288</v>
      </c>
      <c r="K24" s="9">
        <v>234</v>
      </c>
      <c r="L24" s="9">
        <v>234</v>
      </c>
      <c r="M24" s="9">
        <v>270</v>
      </c>
      <c r="N24" s="9">
        <f t="shared" si="0"/>
        <v>3114</v>
      </c>
      <c r="O24" s="10">
        <f t="shared" si="1"/>
        <v>7.9117099913667346E-3</v>
      </c>
      <c r="P24" s="5"/>
    </row>
    <row r="25" spans="1:16" x14ac:dyDescent="0.4">
      <c r="A25" s="5" t="s">
        <v>22</v>
      </c>
      <c r="B25" s="9">
        <v>100</v>
      </c>
      <c r="C25" s="9">
        <v>50</v>
      </c>
      <c r="D25" s="9">
        <v>150</v>
      </c>
      <c r="E25" s="9">
        <v>125</v>
      </c>
      <c r="F25" s="9">
        <v>550</v>
      </c>
      <c r="G25" s="9">
        <v>400</v>
      </c>
      <c r="H25" s="9">
        <v>225</v>
      </c>
      <c r="I25" s="9">
        <v>500</v>
      </c>
      <c r="J25" s="9">
        <v>200</v>
      </c>
      <c r="K25" s="9">
        <v>175</v>
      </c>
      <c r="L25" s="9">
        <v>125</v>
      </c>
      <c r="M25" s="9">
        <v>125</v>
      </c>
      <c r="N25" s="9">
        <f t="shared" si="0"/>
        <v>2725</v>
      </c>
      <c r="O25" s="10">
        <f t="shared" si="1"/>
        <v>6.9233814150527779E-3</v>
      </c>
      <c r="P25" s="5"/>
    </row>
    <row r="26" spans="1:16" x14ac:dyDescent="0.4">
      <c r="A26" s="5" t="s">
        <v>23</v>
      </c>
      <c r="B26" s="9">
        <v>15.75</v>
      </c>
      <c r="C26" s="9">
        <v>21</v>
      </c>
      <c r="D26" s="9">
        <v>52.5</v>
      </c>
      <c r="E26" s="9">
        <v>31.5</v>
      </c>
      <c r="F26" s="9">
        <v>57.75</v>
      </c>
      <c r="G26" s="9">
        <v>57.75</v>
      </c>
      <c r="H26" s="9">
        <v>168</v>
      </c>
      <c r="I26" s="9">
        <v>115.5</v>
      </c>
      <c r="J26" s="9">
        <v>47.25</v>
      </c>
      <c r="K26" s="9">
        <v>115.5</v>
      </c>
      <c r="L26" s="9">
        <v>73.5</v>
      </c>
      <c r="M26" s="9">
        <v>26.25</v>
      </c>
      <c r="N26" s="9">
        <f t="shared" si="0"/>
        <v>782.25</v>
      </c>
      <c r="O26" s="10">
        <f t="shared" si="1"/>
        <v>1.9874550869449672E-3</v>
      </c>
      <c r="P26" s="5"/>
    </row>
    <row r="27" spans="1:16" x14ac:dyDescent="0.4">
      <c r="A27" s="5" t="s">
        <v>24</v>
      </c>
      <c r="B27" s="9">
        <v>100</v>
      </c>
      <c r="C27" s="9">
        <v>25</v>
      </c>
      <c r="D27" s="9">
        <v>50</v>
      </c>
      <c r="E27" s="9">
        <v>50</v>
      </c>
      <c r="F27" s="9">
        <v>200</v>
      </c>
      <c r="G27" s="9">
        <v>150</v>
      </c>
      <c r="H27" s="9">
        <v>175</v>
      </c>
      <c r="I27" s="9">
        <v>175</v>
      </c>
      <c r="J27" s="9">
        <v>125</v>
      </c>
      <c r="K27" s="9">
        <v>1100</v>
      </c>
      <c r="L27" s="9">
        <v>275</v>
      </c>
      <c r="M27" s="9">
        <v>125</v>
      </c>
      <c r="N27" s="9">
        <f t="shared" si="0"/>
        <v>2550</v>
      </c>
      <c r="O27" s="10">
        <f t="shared" si="1"/>
        <v>6.4787605902328748E-3</v>
      </c>
      <c r="P27" s="5"/>
    </row>
    <row r="28" spans="1:16" x14ac:dyDescent="0.4">
      <c r="A28" s="5" t="s">
        <v>25</v>
      </c>
      <c r="B28" s="9">
        <f t="shared" ref="B28:O28" si="2">SUM(B4:B27)</f>
        <v>24118.649999999998</v>
      </c>
      <c r="C28" s="9">
        <f t="shared" si="2"/>
        <v>22786.2</v>
      </c>
      <c r="D28" s="9">
        <f t="shared" si="2"/>
        <v>28816</v>
      </c>
      <c r="E28" s="9">
        <f t="shared" si="2"/>
        <v>30014.899999999998</v>
      </c>
      <c r="F28" s="9">
        <f t="shared" si="2"/>
        <v>37678.25</v>
      </c>
      <c r="G28" s="9">
        <f t="shared" si="2"/>
        <v>28934.25</v>
      </c>
      <c r="H28" s="9">
        <f t="shared" si="2"/>
        <v>47103.3</v>
      </c>
      <c r="I28" s="9">
        <f t="shared" si="2"/>
        <v>48244.85</v>
      </c>
      <c r="J28" s="9">
        <f t="shared" si="2"/>
        <v>35019.699999999997</v>
      </c>
      <c r="K28" s="9">
        <f t="shared" si="2"/>
        <v>32180.699999999997</v>
      </c>
      <c r="L28" s="9">
        <f t="shared" si="2"/>
        <v>28479.300000000003</v>
      </c>
      <c r="M28" s="9">
        <f t="shared" si="2"/>
        <v>30217.7</v>
      </c>
      <c r="N28" s="9">
        <f t="shared" si="2"/>
        <v>393593.8</v>
      </c>
      <c r="O28" s="10">
        <f t="shared" si="2"/>
        <v>1</v>
      </c>
      <c r="P28" s="5"/>
    </row>
    <row r="29" spans="1:16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>
        <f>SUM(B28:M28)</f>
        <v>393593.8</v>
      </c>
      <c r="O29" s="5"/>
    </row>
    <row r="30" spans="1:16" x14ac:dyDescent="0.4">
      <c r="A30" s="12"/>
    </row>
  </sheetData>
  <phoneticPr fontId="0" type="noConversion"/>
  <pageMargins left="0.24" right="0.24" top="1" bottom="1" header="0.5" footer="0.5"/>
  <pageSetup scale="7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30"/>
  <sheetViews>
    <sheetView showGridLines="0" workbookViewId="0">
      <pane xSplit="1" ySplit="3" topLeftCell="B13" activePane="bottomRight" state="frozen"/>
      <selection pane="topRight"/>
      <selection pane="bottomLeft"/>
      <selection pane="bottomRight"/>
    </sheetView>
  </sheetViews>
  <sheetFormatPr defaultColWidth="9.75" defaultRowHeight="16.2" x14ac:dyDescent="0.4"/>
  <cols>
    <col min="1" max="1" width="20.75" style="4" customWidth="1"/>
    <col min="2" max="2" width="10.4140625" style="4" customWidth="1"/>
    <col min="3" max="3" width="9.33203125" style="4" customWidth="1"/>
    <col min="4" max="5" width="9.33203125" style="4" bestFit="1" customWidth="1"/>
    <col min="6" max="6" width="9.4140625" style="4" customWidth="1"/>
    <col min="7" max="7" width="9.6640625" style="4" customWidth="1"/>
    <col min="8" max="8" width="9.25" style="4" customWidth="1"/>
    <col min="9" max="9" width="9.08203125" style="4" bestFit="1" customWidth="1"/>
    <col min="10" max="10" width="9.4140625" style="4" customWidth="1"/>
    <col min="11" max="12" width="9.33203125" style="4" customWidth="1"/>
    <col min="13" max="13" width="9.33203125" style="4" bestFit="1" customWidth="1"/>
    <col min="14" max="14" width="10.25" style="4" customWidth="1"/>
    <col min="15" max="15" width="8.08203125" style="4" customWidth="1"/>
    <col min="16" max="16384" width="9.75" style="4"/>
  </cols>
  <sheetData>
    <row r="1" spans="1:16" ht="18.600000000000001" x14ac:dyDescent="0.45">
      <c r="A1" s="3" t="s">
        <v>102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x14ac:dyDescent="0.4">
      <c r="A4" s="5" t="s">
        <v>1</v>
      </c>
      <c r="B4" s="9">
        <v>1284.4000000000001</v>
      </c>
      <c r="C4" s="9">
        <v>1656.2</v>
      </c>
      <c r="D4" s="9">
        <v>2163.1999999999998</v>
      </c>
      <c r="E4" s="9">
        <v>1859</v>
      </c>
      <c r="F4" s="9">
        <v>2399.8000000000002</v>
      </c>
      <c r="G4" s="9">
        <v>2163.1999999999998</v>
      </c>
      <c r="H4" s="9">
        <v>2940.6</v>
      </c>
      <c r="I4" s="9">
        <v>2704</v>
      </c>
      <c r="J4" s="9">
        <v>1690</v>
      </c>
      <c r="K4" s="9">
        <v>1892.8</v>
      </c>
      <c r="L4" s="9">
        <v>1554.8</v>
      </c>
      <c r="M4" s="9">
        <v>1216.8</v>
      </c>
      <c r="N4" s="9">
        <f t="shared" ref="N4:N27" si="0">SUM(B4:M4)</f>
        <v>23524.799999999999</v>
      </c>
      <c r="O4" s="10">
        <f t="shared" ref="O4:O27" si="1">N4/$N$28</f>
        <v>5.9858308263875476E-2</v>
      </c>
      <c r="P4" s="5"/>
    </row>
    <row r="5" spans="1:16" x14ac:dyDescent="0.4">
      <c r="A5" s="5" t="s">
        <v>2</v>
      </c>
      <c r="B5" s="11">
        <v>9527.5</v>
      </c>
      <c r="C5" s="11">
        <v>10730</v>
      </c>
      <c r="D5" s="11">
        <v>12395</v>
      </c>
      <c r="E5" s="11">
        <v>12348.75</v>
      </c>
      <c r="F5" s="11">
        <v>12950</v>
      </c>
      <c r="G5" s="11">
        <v>12996.25</v>
      </c>
      <c r="H5" s="11">
        <v>11516.25</v>
      </c>
      <c r="I5" s="11">
        <v>12765</v>
      </c>
      <c r="J5" s="11">
        <v>10128.75</v>
      </c>
      <c r="K5" s="11">
        <v>11793.75</v>
      </c>
      <c r="L5" s="11">
        <v>10637.5</v>
      </c>
      <c r="M5" s="11">
        <v>11053.75</v>
      </c>
      <c r="N5" s="9">
        <f t="shared" si="0"/>
        <v>138842.5</v>
      </c>
      <c r="O5" s="10">
        <f t="shared" si="1"/>
        <v>0.35328152269635155</v>
      </c>
      <c r="P5" s="5"/>
    </row>
    <row r="6" spans="1:16" x14ac:dyDescent="0.4">
      <c r="A6" s="5" t="s">
        <v>3</v>
      </c>
      <c r="B6" s="9">
        <v>1687.5</v>
      </c>
      <c r="C6" s="9">
        <v>1837.5</v>
      </c>
      <c r="D6" s="9">
        <v>2325</v>
      </c>
      <c r="E6" s="9">
        <v>2137.5</v>
      </c>
      <c r="F6" s="9">
        <v>2943.75</v>
      </c>
      <c r="G6" s="9">
        <v>3037.5</v>
      </c>
      <c r="H6" s="9">
        <v>3393.75</v>
      </c>
      <c r="I6" s="9">
        <v>3431.25</v>
      </c>
      <c r="J6" s="9">
        <v>2662.5</v>
      </c>
      <c r="K6" s="9">
        <v>2006.25</v>
      </c>
      <c r="L6" s="9">
        <v>2362.5</v>
      </c>
      <c r="M6" s="9">
        <v>1875</v>
      </c>
      <c r="N6" s="9">
        <f t="shared" si="0"/>
        <v>29700</v>
      </c>
      <c r="O6" s="10">
        <f t="shared" si="1"/>
        <v>7.5570961514533672E-2</v>
      </c>
      <c r="P6" s="5"/>
    </row>
    <row r="7" spans="1:16" x14ac:dyDescent="0.4">
      <c r="A7" s="5" t="s">
        <v>4</v>
      </c>
      <c r="B7" s="9">
        <v>1411.25</v>
      </c>
      <c r="C7" s="9">
        <v>1446.25</v>
      </c>
      <c r="D7" s="9">
        <v>1548.75</v>
      </c>
      <c r="E7" s="9">
        <v>2103.75</v>
      </c>
      <c r="F7" s="9">
        <v>2393.75</v>
      </c>
      <c r="G7" s="9">
        <v>2833.75</v>
      </c>
      <c r="H7" s="9">
        <v>4728.75</v>
      </c>
      <c r="I7" s="9">
        <v>4381.25</v>
      </c>
      <c r="J7" s="9">
        <v>3150</v>
      </c>
      <c r="K7" s="9">
        <v>2047.5</v>
      </c>
      <c r="L7" s="9">
        <v>1833.75</v>
      </c>
      <c r="M7" s="9">
        <v>1800</v>
      </c>
      <c r="N7" s="9">
        <f t="shared" si="0"/>
        <v>29678.75</v>
      </c>
      <c r="O7" s="10">
        <f t="shared" si="1"/>
        <v>7.5516891382136908E-2</v>
      </c>
      <c r="P7" s="5"/>
    </row>
    <row r="8" spans="1:16" x14ac:dyDescent="0.4">
      <c r="A8" s="5" t="s">
        <v>5</v>
      </c>
      <c r="B8" s="9">
        <v>165.5</v>
      </c>
      <c r="C8" s="9">
        <v>172</v>
      </c>
      <c r="D8" s="9">
        <v>208</v>
      </c>
      <c r="E8" s="9">
        <v>375.5</v>
      </c>
      <c r="F8" s="9">
        <v>315.5</v>
      </c>
      <c r="G8" s="9">
        <v>509</v>
      </c>
      <c r="H8" s="9">
        <v>844</v>
      </c>
      <c r="I8" s="9">
        <v>729.5</v>
      </c>
      <c r="J8" s="9">
        <v>335</v>
      </c>
      <c r="K8" s="9">
        <v>185.5</v>
      </c>
      <c r="L8" s="9">
        <v>229</v>
      </c>
      <c r="M8" s="9">
        <v>239</v>
      </c>
      <c r="N8" s="9">
        <f t="shared" si="0"/>
        <v>4307.5</v>
      </c>
      <c r="O8" s="10">
        <f t="shared" si="1"/>
        <v>1.0960333896426054E-2</v>
      </c>
      <c r="P8" s="5"/>
    </row>
    <row r="9" spans="1:16" x14ac:dyDescent="0.4">
      <c r="A9" s="5" t="s">
        <v>6</v>
      </c>
      <c r="B9" s="9">
        <v>5208</v>
      </c>
      <c r="C9" s="9">
        <v>5528.25</v>
      </c>
      <c r="D9" s="9">
        <v>5964</v>
      </c>
      <c r="E9" s="9">
        <v>7140</v>
      </c>
      <c r="F9" s="9">
        <v>7869.75</v>
      </c>
      <c r="G9" s="9">
        <v>9371.25</v>
      </c>
      <c r="H9" s="9">
        <v>13314</v>
      </c>
      <c r="I9" s="9">
        <v>13056.75</v>
      </c>
      <c r="J9" s="9">
        <v>10111.5</v>
      </c>
      <c r="K9" s="9">
        <v>7822.5</v>
      </c>
      <c r="L9" s="9">
        <v>6604.5</v>
      </c>
      <c r="M9" s="9">
        <v>6594</v>
      </c>
      <c r="N9" s="9">
        <f t="shared" si="0"/>
        <v>98584.5</v>
      </c>
      <c r="O9" s="10">
        <f t="shared" si="1"/>
        <v>0.25084597493028771</v>
      </c>
      <c r="P9" s="5"/>
    </row>
    <row r="10" spans="1:16" x14ac:dyDescent="0.4">
      <c r="A10" s="5" t="s">
        <v>7</v>
      </c>
      <c r="B10" s="9">
        <v>0</v>
      </c>
      <c r="C10" s="9">
        <v>0</v>
      </c>
      <c r="D10" s="9">
        <v>0</v>
      </c>
      <c r="E10" s="9">
        <v>125</v>
      </c>
      <c r="F10" s="9">
        <v>25</v>
      </c>
      <c r="G10" s="9">
        <v>50</v>
      </c>
      <c r="H10" s="9">
        <v>25</v>
      </c>
      <c r="I10" s="9">
        <v>0</v>
      </c>
      <c r="J10" s="9">
        <v>150</v>
      </c>
      <c r="K10" s="9">
        <v>150</v>
      </c>
      <c r="L10" s="9">
        <v>25</v>
      </c>
      <c r="M10" s="9">
        <v>0</v>
      </c>
      <c r="N10" s="9">
        <f t="shared" si="0"/>
        <v>550</v>
      </c>
      <c r="O10" s="10">
        <f t="shared" si="1"/>
        <v>1.3994622502691422E-3</v>
      </c>
      <c r="P10" s="5"/>
    </row>
    <row r="11" spans="1:16" x14ac:dyDescent="0.4">
      <c r="A11" s="5" t="s">
        <v>8</v>
      </c>
      <c r="B11" s="9">
        <v>262</v>
      </c>
      <c r="C11" s="9">
        <v>484</v>
      </c>
      <c r="D11" s="9">
        <v>999</v>
      </c>
      <c r="E11" s="9">
        <v>430</v>
      </c>
      <c r="F11" s="9">
        <v>416</v>
      </c>
      <c r="G11" s="9">
        <v>716</v>
      </c>
      <c r="H11" s="9">
        <v>473</v>
      </c>
      <c r="I11" s="9">
        <v>473</v>
      </c>
      <c r="J11" s="9">
        <v>819</v>
      </c>
      <c r="K11" s="9">
        <v>1013</v>
      </c>
      <c r="L11" s="9">
        <v>541</v>
      </c>
      <c r="M11" s="9">
        <v>452</v>
      </c>
      <c r="N11" s="9">
        <f t="shared" si="0"/>
        <v>7078</v>
      </c>
      <c r="O11" s="10">
        <f t="shared" si="1"/>
        <v>1.8009806922554522E-2</v>
      </c>
      <c r="P11" s="5"/>
    </row>
    <row r="12" spans="1:16" x14ac:dyDescent="0.4">
      <c r="A12" s="5" t="s">
        <v>9</v>
      </c>
      <c r="B12" s="9">
        <v>4</v>
      </c>
      <c r="C12" s="9">
        <v>6</v>
      </c>
      <c r="D12" s="9">
        <v>8</v>
      </c>
      <c r="E12" s="9">
        <v>28</v>
      </c>
      <c r="F12" s="9">
        <v>26</v>
      </c>
      <c r="G12" s="9">
        <v>42</v>
      </c>
      <c r="H12" s="9">
        <v>50</v>
      </c>
      <c r="I12" s="9">
        <v>34</v>
      </c>
      <c r="J12" s="9">
        <v>54</v>
      </c>
      <c r="K12" s="9">
        <v>16</v>
      </c>
      <c r="L12" s="9">
        <v>2</v>
      </c>
      <c r="M12" s="9">
        <v>6</v>
      </c>
      <c r="N12" s="9">
        <f t="shared" si="0"/>
        <v>276</v>
      </c>
      <c r="O12" s="10">
        <f t="shared" si="1"/>
        <v>7.0227560195324228E-4</v>
      </c>
      <c r="P12" s="5"/>
    </row>
    <row r="13" spans="1:16" x14ac:dyDescent="0.4">
      <c r="A13" s="5" t="s">
        <v>10</v>
      </c>
      <c r="B13" s="9">
        <f>110+12</f>
        <v>122</v>
      </c>
      <c r="C13" s="9">
        <f>110+12</f>
        <v>122</v>
      </c>
      <c r="D13" s="9">
        <f>126.5+13.8</f>
        <v>140.30000000000001</v>
      </c>
      <c r="E13" s="9">
        <v>91.5</v>
      </c>
      <c r="F13" s="9">
        <f>121+13.2</f>
        <v>134.19999999999999</v>
      </c>
      <c r="G13" s="9">
        <v>67.099999999999994</v>
      </c>
      <c r="H13" s="9">
        <v>0</v>
      </c>
      <c r="I13" s="9">
        <v>0</v>
      </c>
      <c r="J13" s="9">
        <f>99+10.8</f>
        <v>109.8</v>
      </c>
      <c r="K13" s="9">
        <v>115.5</v>
      </c>
      <c r="L13" s="9">
        <v>104.5</v>
      </c>
      <c r="M13" s="9">
        <f>379.5+41.4</f>
        <v>420.9</v>
      </c>
      <c r="N13" s="9">
        <f t="shared" si="0"/>
        <v>1427.8</v>
      </c>
      <c r="O13" s="10">
        <f t="shared" si="1"/>
        <v>3.6330040016986928E-3</v>
      </c>
      <c r="P13" s="5"/>
    </row>
    <row r="14" spans="1:16" x14ac:dyDescent="0.4">
      <c r="A14" s="5" t="s">
        <v>11</v>
      </c>
      <c r="B14" s="9">
        <v>12.5</v>
      </c>
      <c r="C14" s="9">
        <v>33.5</v>
      </c>
      <c r="D14" s="9">
        <v>35.5</v>
      </c>
      <c r="E14" s="9">
        <v>99</v>
      </c>
      <c r="F14" s="9">
        <v>68.5</v>
      </c>
      <c r="G14" s="9">
        <v>60.5</v>
      </c>
      <c r="H14" s="9">
        <v>36.5</v>
      </c>
      <c r="I14" s="9">
        <v>69</v>
      </c>
      <c r="J14" s="9">
        <v>110.5</v>
      </c>
      <c r="K14" s="9">
        <v>276</v>
      </c>
      <c r="L14" s="9">
        <v>34</v>
      </c>
      <c r="M14" s="9">
        <v>5.5</v>
      </c>
      <c r="N14" s="9">
        <f t="shared" si="0"/>
        <v>841</v>
      </c>
      <c r="O14" s="10">
        <f t="shared" si="1"/>
        <v>2.1399050045024519E-3</v>
      </c>
      <c r="P14" s="5"/>
    </row>
    <row r="15" spans="1:16" x14ac:dyDescent="0.4">
      <c r="A15" s="5" t="s">
        <v>12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f t="shared" si="0"/>
        <v>0</v>
      </c>
      <c r="O15" s="10">
        <f t="shared" si="1"/>
        <v>0</v>
      </c>
      <c r="P15" s="5"/>
    </row>
    <row r="16" spans="1:16" x14ac:dyDescent="0.4">
      <c r="A16" s="5" t="s">
        <v>13</v>
      </c>
      <c r="B16" s="9">
        <v>0</v>
      </c>
      <c r="C16" s="9">
        <v>0</v>
      </c>
      <c r="D16" s="9">
        <v>0</v>
      </c>
      <c r="E16" s="9">
        <v>0</v>
      </c>
      <c r="F16" s="9">
        <v>1800</v>
      </c>
      <c r="G16" s="9">
        <v>2152</v>
      </c>
      <c r="H16" s="9">
        <v>2984</v>
      </c>
      <c r="I16" s="9">
        <v>2971</v>
      </c>
      <c r="J16" s="9">
        <v>2344</v>
      </c>
      <c r="K16" s="9">
        <v>0</v>
      </c>
      <c r="L16" s="9">
        <v>0</v>
      </c>
      <c r="M16" s="9">
        <v>1</v>
      </c>
      <c r="N16" s="9">
        <f t="shared" si="0"/>
        <v>12252</v>
      </c>
      <c r="O16" s="10">
        <f t="shared" si="1"/>
        <v>3.1174929982359142E-2</v>
      </c>
      <c r="P16" s="5"/>
    </row>
    <row r="17" spans="1:16" x14ac:dyDescent="0.4">
      <c r="A17" s="5" t="s">
        <v>14</v>
      </c>
      <c r="B17" s="9">
        <v>62.5</v>
      </c>
      <c r="C17" s="9">
        <v>93.75</v>
      </c>
      <c r="D17" s="9">
        <v>156.25</v>
      </c>
      <c r="E17" s="9">
        <v>100</v>
      </c>
      <c r="F17" s="9">
        <v>125</v>
      </c>
      <c r="G17" s="9">
        <v>168.75</v>
      </c>
      <c r="H17" s="9">
        <v>300</v>
      </c>
      <c r="I17" s="9">
        <v>193.75</v>
      </c>
      <c r="J17" s="9">
        <v>118.75</v>
      </c>
      <c r="K17" s="9">
        <v>62.5</v>
      </c>
      <c r="L17" s="9">
        <v>100</v>
      </c>
      <c r="M17" s="9">
        <v>93.75</v>
      </c>
      <c r="N17" s="9">
        <f t="shared" si="0"/>
        <v>1575</v>
      </c>
      <c r="O17" s="10">
        <f t="shared" si="1"/>
        <v>4.0075509894070887E-3</v>
      </c>
      <c r="P17" s="5"/>
    </row>
    <row r="18" spans="1:16" x14ac:dyDescent="0.4">
      <c r="A18" s="5" t="s">
        <v>15</v>
      </c>
      <c r="B18" s="9">
        <v>38.5</v>
      </c>
      <c r="C18" s="9">
        <v>24.5</v>
      </c>
      <c r="D18" s="9">
        <v>59.5</v>
      </c>
      <c r="E18" s="9">
        <v>73.5</v>
      </c>
      <c r="F18" s="9">
        <v>66.5</v>
      </c>
      <c r="G18" s="9">
        <v>87.5</v>
      </c>
      <c r="H18" s="9">
        <v>70</v>
      </c>
      <c r="I18" s="9">
        <v>101.5</v>
      </c>
      <c r="J18" s="9">
        <v>63</v>
      </c>
      <c r="K18" s="9">
        <v>87.5</v>
      </c>
      <c r="L18" s="9">
        <v>56</v>
      </c>
      <c r="M18" s="9">
        <v>42</v>
      </c>
      <c r="N18" s="9">
        <f t="shared" si="0"/>
        <v>770</v>
      </c>
      <c r="O18" s="10">
        <f t="shared" si="1"/>
        <v>1.959247150376799E-3</v>
      </c>
      <c r="P18" s="5"/>
    </row>
    <row r="19" spans="1:16" x14ac:dyDescent="0.4">
      <c r="A19" s="5" t="s">
        <v>16</v>
      </c>
      <c r="B19" s="9">
        <v>57.75</v>
      </c>
      <c r="C19" s="9">
        <v>57.75</v>
      </c>
      <c r="D19" s="9">
        <v>131.25</v>
      </c>
      <c r="E19" s="9">
        <v>152.25</v>
      </c>
      <c r="F19" s="9">
        <v>225.75</v>
      </c>
      <c r="G19" s="9">
        <v>252</v>
      </c>
      <c r="H19" s="9">
        <v>231</v>
      </c>
      <c r="I19" s="9">
        <v>262.5</v>
      </c>
      <c r="J19" s="9">
        <v>210</v>
      </c>
      <c r="K19" s="9">
        <v>162.75</v>
      </c>
      <c r="L19" s="9">
        <v>110.25</v>
      </c>
      <c r="M19" s="9">
        <v>63</v>
      </c>
      <c r="N19" s="9">
        <f t="shared" si="0"/>
        <v>1916.25</v>
      </c>
      <c r="O19" s="10">
        <f t="shared" si="1"/>
        <v>4.8758537037786251E-3</v>
      </c>
      <c r="P19" s="5"/>
    </row>
    <row r="20" spans="1:16" x14ac:dyDescent="0.4">
      <c r="A20" s="5" t="s">
        <v>17</v>
      </c>
      <c r="B20" s="9">
        <v>910</v>
      </c>
      <c r="C20" s="9">
        <v>749</v>
      </c>
      <c r="D20" s="9">
        <v>742</v>
      </c>
      <c r="E20" s="9">
        <v>679</v>
      </c>
      <c r="F20" s="9">
        <v>1078</v>
      </c>
      <c r="G20" s="9">
        <v>1001</v>
      </c>
      <c r="H20" s="9">
        <v>1288</v>
      </c>
      <c r="I20" s="9">
        <v>1337</v>
      </c>
      <c r="J20" s="9">
        <v>1218</v>
      </c>
      <c r="K20" s="9">
        <v>1169</v>
      </c>
      <c r="L20" s="9">
        <v>763</v>
      </c>
      <c r="M20" s="9">
        <v>924</v>
      </c>
      <c r="N20" s="9">
        <f t="shared" si="0"/>
        <v>11858</v>
      </c>
      <c r="O20" s="10">
        <f t="shared" si="1"/>
        <v>3.0172406115802703E-2</v>
      </c>
      <c r="P20" s="5"/>
    </row>
    <row r="21" spans="1:16" x14ac:dyDescent="0.4">
      <c r="A21" s="5" t="s">
        <v>18</v>
      </c>
      <c r="B21" s="9">
        <v>990</v>
      </c>
      <c r="C21" s="9">
        <v>657</v>
      </c>
      <c r="D21" s="9">
        <v>702</v>
      </c>
      <c r="E21" s="9">
        <v>648</v>
      </c>
      <c r="F21" s="9">
        <v>558</v>
      </c>
      <c r="G21" s="9">
        <v>810</v>
      </c>
      <c r="H21" s="9">
        <v>1062</v>
      </c>
      <c r="I21" s="9">
        <v>792</v>
      </c>
      <c r="J21" s="9">
        <v>828</v>
      </c>
      <c r="K21" s="9">
        <v>756</v>
      </c>
      <c r="L21" s="9">
        <v>558</v>
      </c>
      <c r="M21" s="9">
        <v>378</v>
      </c>
      <c r="N21" s="9">
        <f t="shared" si="0"/>
        <v>8739</v>
      </c>
      <c r="O21" s="10">
        <f t="shared" si="1"/>
        <v>2.2236182918367334E-2</v>
      </c>
      <c r="P21" s="5"/>
    </row>
    <row r="22" spans="1:16" x14ac:dyDescent="0.4">
      <c r="A22" s="5" t="s">
        <v>19</v>
      </c>
      <c r="B22" s="9">
        <v>220.5</v>
      </c>
      <c r="C22" s="9">
        <v>252</v>
      </c>
      <c r="D22" s="9">
        <v>168</v>
      </c>
      <c r="E22" s="9">
        <v>283.5</v>
      </c>
      <c r="F22" s="9">
        <v>378</v>
      </c>
      <c r="G22" s="9">
        <v>577.5</v>
      </c>
      <c r="H22" s="9">
        <v>483</v>
      </c>
      <c r="I22" s="9">
        <v>766.5</v>
      </c>
      <c r="J22" s="9">
        <v>420</v>
      </c>
      <c r="K22" s="9">
        <v>430.5</v>
      </c>
      <c r="L22" s="9">
        <v>294</v>
      </c>
      <c r="M22" s="9">
        <v>199.5</v>
      </c>
      <c r="N22" s="9">
        <f t="shared" si="0"/>
        <v>4473</v>
      </c>
      <c r="O22" s="10">
        <f t="shared" si="1"/>
        <v>1.1381444809916132E-2</v>
      </c>
      <c r="P22" s="5"/>
    </row>
    <row r="23" spans="1:16" x14ac:dyDescent="0.4">
      <c r="A23" s="5" t="s">
        <v>20</v>
      </c>
      <c r="B23" s="9">
        <v>490</v>
      </c>
      <c r="C23" s="9">
        <v>602</v>
      </c>
      <c r="D23" s="9">
        <v>448</v>
      </c>
      <c r="E23" s="9">
        <v>532</v>
      </c>
      <c r="F23" s="9">
        <v>364</v>
      </c>
      <c r="G23" s="9">
        <v>728</v>
      </c>
      <c r="H23" s="9">
        <v>924</v>
      </c>
      <c r="I23" s="9">
        <v>1246</v>
      </c>
      <c r="J23" s="9">
        <v>840</v>
      </c>
      <c r="K23" s="9">
        <v>812</v>
      </c>
      <c r="L23" s="9">
        <v>280</v>
      </c>
      <c r="M23" s="9">
        <v>154</v>
      </c>
      <c r="N23" s="9">
        <f t="shared" si="0"/>
        <v>7420</v>
      </c>
      <c r="O23" s="10">
        <f t="shared" si="1"/>
        <v>1.8880017994540064E-2</v>
      </c>
      <c r="P23" s="5"/>
    </row>
    <row r="24" spans="1:16" x14ac:dyDescent="0.4">
      <c r="A24" s="5" t="s">
        <v>21</v>
      </c>
      <c r="B24" s="9">
        <v>270</v>
      </c>
      <c r="C24" s="9">
        <v>126</v>
      </c>
      <c r="D24" s="9">
        <v>198</v>
      </c>
      <c r="E24" s="9">
        <v>216</v>
      </c>
      <c r="F24" s="9">
        <v>126</v>
      </c>
      <c r="G24" s="9">
        <v>216</v>
      </c>
      <c r="H24" s="9">
        <v>378</v>
      </c>
      <c r="I24" s="9">
        <v>396</v>
      </c>
      <c r="J24" s="9">
        <v>468</v>
      </c>
      <c r="K24" s="9">
        <v>252</v>
      </c>
      <c r="L24" s="9">
        <v>126</v>
      </c>
      <c r="M24" s="9">
        <v>234</v>
      </c>
      <c r="N24" s="9">
        <f t="shared" si="0"/>
        <v>3006</v>
      </c>
      <c r="O24" s="10">
        <f t="shared" si="1"/>
        <v>7.6486973169255295E-3</v>
      </c>
      <c r="P24" s="5"/>
    </row>
    <row r="25" spans="1:16" x14ac:dyDescent="0.4">
      <c r="A25" s="5" t="s">
        <v>22</v>
      </c>
      <c r="B25" s="9">
        <v>150</v>
      </c>
      <c r="C25" s="9">
        <v>175</v>
      </c>
      <c r="D25" s="9">
        <v>175</v>
      </c>
      <c r="E25" s="9">
        <v>125</v>
      </c>
      <c r="F25" s="9">
        <v>225</v>
      </c>
      <c r="G25" s="9">
        <v>50</v>
      </c>
      <c r="H25" s="9">
        <v>250</v>
      </c>
      <c r="I25" s="9">
        <v>275</v>
      </c>
      <c r="J25" s="9">
        <v>225</v>
      </c>
      <c r="K25" s="9">
        <v>125</v>
      </c>
      <c r="L25" s="9">
        <v>150</v>
      </c>
      <c r="M25" s="9">
        <v>50</v>
      </c>
      <c r="N25" s="9">
        <f t="shared" si="0"/>
        <v>1975</v>
      </c>
      <c r="O25" s="10">
        <f t="shared" si="1"/>
        <v>5.0253417168755555E-3</v>
      </c>
      <c r="P25" s="5"/>
    </row>
    <row r="26" spans="1:16" x14ac:dyDescent="0.4">
      <c r="A26" s="5" t="s">
        <v>23</v>
      </c>
      <c r="B26" s="9">
        <v>5.25</v>
      </c>
      <c r="C26" s="9">
        <v>26.25</v>
      </c>
      <c r="D26" s="9">
        <v>57.75</v>
      </c>
      <c r="E26" s="9">
        <v>63</v>
      </c>
      <c r="F26" s="9">
        <v>73.5</v>
      </c>
      <c r="G26" s="9">
        <v>57.75</v>
      </c>
      <c r="H26" s="9">
        <v>73.5</v>
      </c>
      <c r="I26" s="9">
        <v>57.75</v>
      </c>
      <c r="J26" s="9">
        <v>78.75</v>
      </c>
      <c r="K26" s="9">
        <v>42</v>
      </c>
      <c r="L26" s="9">
        <v>47.25</v>
      </c>
      <c r="M26" s="9">
        <v>5.25</v>
      </c>
      <c r="N26" s="9">
        <f t="shared" si="0"/>
        <v>588</v>
      </c>
      <c r="O26" s="10">
        <f t="shared" si="1"/>
        <v>1.4961523693786465E-3</v>
      </c>
      <c r="P26" s="5"/>
    </row>
    <row r="27" spans="1:16" x14ac:dyDescent="0.4">
      <c r="A27" s="5" t="s">
        <v>24</v>
      </c>
      <c r="B27" s="9">
        <v>100</v>
      </c>
      <c r="C27" s="9">
        <v>175</v>
      </c>
      <c r="D27" s="9">
        <v>125</v>
      </c>
      <c r="E27" s="9">
        <v>250</v>
      </c>
      <c r="F27" s="9">
        <v>150</v>
      </c>
      <c r="G27" s="9">
        <v>275</v>
      </c>
      <c r="H27" s="9">
        <v>50</v>
      </c>
      <c r="I27" s="9">
        <v>275</v>
      </c>
      <c r="J27" s="9">
        <v>250</v>
      </c>
      <c r="K27" s="9">
        <v>1850</v>
      </c>
      <c r="L27" s="9">
        <v>100</v>
      </c>
      <c r="M27" s="9">
        <v>25</v>
      </c>
      <c r="N27" s="9">
        <f t="shared" si="0"/>
        <v>3625</v>
      </c>
      <c r="O27" s="10">
        <f t="shared" si="1"/>
        <v>9.2237284676829814E-3</v>
      </c>
      <c r="P27" s="5"/>
    </row>
    <row r="28" spans="1:16" x14ac:dyDescent="0.4">
      <c r="A28" s="5" t="s">
        <v>25</v>
      </c>
      <c r="B28" s="9">
        <f t="shared" ref="B28:O28" si="2">SUM(B4:B27)</f>
        <v>22979.15</v>
      </c>
      <c r="C28" s="9">
        <f t="shared" si="2"/>
        <v>24953.95</v>
      </c>
      <c r="D28" s="9">
        <f t="shared" si="2"/>
        <v>28749.5</v>
      </c>
      <c r="E28" s="9">
        <f t="shared" si="2"/>
        <v>29860.25</v>
      </c>
      <c r="F28" s="9">
        <f t="shared" si="2"/>
        <v>34712</v>
      </c>
      <c r="G28" s="9">
        <f t="shared" si="2"/>
        <v>38222.050000000003</v>
      </c>
      <c r="H28" s="9">
        <f t="shared" si="2"/>
        <v>45415.35</v>
      </c>
      <c r="I28" s="9">
        <f t="shared" si="2"/>
        <v>46317.75</v>
      </c>
      <c r="J28" s="9">
        <f t="shared" si="2"/>
        <v>36384.550000000003</v>
      </c>
      <c r="K28" s="9">
        <f t="shared" si="2"/>
        <v>33068.050000000003</v>
      </c>
      <c r="L28" s="9">
        <f t="shared" si="2"/>
        <v>26513.05</v>
      </c>
      <c r="M28" s="9">
        <f t="shared" si="2"/>
        <v>25832.45</v>
      </c>
      <c r="N28" s="9">
        <f t="shared" si="2"/>
        <v>393008.1</v>
      </c>
      <c r="O28" s="10">
        <f t="shared" si="2"/>
        <v>0.99999999999999989</v>
      </c>
      <c r="P28" s="5"/>
    </row>
    <row r="29" spans="1:16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>
        <f>SUM(B28:M28)</f>
        <v>393008.1</v>
      </c>
      <c r="O29" s="5"/>
    </row>
    <row r="30" spans="1:16" x14ac:dyDescent="0.4">
      <c r="A30" s="12"/>
    </row>
  </sheetData>
  <phoneticPr fontId="0" type="noConversion"/>
  <pageMargins left="0.24" right="0.24" top="1" bottom="1" header="0.5" footer="0.5"/>
  <pageSetup scale="7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30"/>
  <sheetViews>
    <sheetView showGridLines="0" workbookViewId="0">
      <pane xSplit="1" ySplit="3" topLeftCell="B13" activePane="bottomRight" state="frozen"/>
      <selection pane="topRight"/>
      <selection pane="bottomLeft"/>
      <selection pane="bottomRight"/>
    </sheetView>
  </sheetViews>
  <sheetFormatPr defaultColWidth="9.75" defaultRowHeight="16.2" x14ac:dyDescent="0.4"/>
  <cols>
    <col min="1" max="1" width="20.75" style="4" customWidth="1"/>
    <col min="2" max="2" width="10.4140625" style="4" customWidth="1"/>
    <col min="3" max="3" width="9.33203125" style="4" customWidth="1"/>
    <col min="4" max="4" width="9.33203125" style="4" bestFit="1" customWidth="1"/>
    <col min="5" max="5" width="9.25" style="4" customWidth="1"/>
    <col min="6" max="6" width="9.4140625" style="4" customWidth="1"/>
    <col min="7" max="7" width="9.08203125" style="4" bestFit="1" customWidth="1"/>
    <col min="8" max="8" width="9.25" style="4" customWidth="1"/>
    <col min="9" max="9" width="9.08203125" style="4" bestFit="1" customWidth="1"/>
    <col min="10" max="10" width="9.4140625" style="4" customWidth="1"/>
    <col min="11" max="12" width="9.33203125" style="4" customWidth="1"/>
    <col min="13" max="13" width="9.33203125" style="4" bestFit="1" customWidth="1"/>
    <col min="14" max="14" width="10.25" style="4" customWidth="1"/>
    <col min="15" max="15" width="8.08203125" style="4" customWidth="1"/>
    <col min="16" max="16384" width="9.75" style="4"/>
  </cols>
  <sheetData>
    <row r="1" spans="1:15" ht="18.600000000000001" x14ac:dyDescent="0.45">
      <c r="A1" s="3" t="s">
        <v>101</v>
      </c>
    </row>
    <row r="3" spans="1:15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</row>
    <row r="4" spans="1:15" x14ac:dyDescent="0.4">
      <c r="A4" s="5" t="s">
        <v>1</v>
      </c>
      <c r="B4" s="9">
        <v>1554.8</v>
      </c>
      <c r="C4" s="9">
        <v>1149.2</v>
      </c>
      <c r="D4" s="9">
        <v>1757.6</v>
      </c>
      <c r="E4" s="9">
        <v>1825.2</v>
      </c>
      <c r="F4" s="9">
        <v>2501.1999999999998</v>
      </c>
      <c r="G4" s="9">
        <v>1419.6</v>
      </c>
      <c r="H4" s="9">
        <v>2940.6</v>
      </c>
      <c r="I4" s="9">
        <v>2230.8000000000002</v>
      </c>
      <c r="J4" s="9">
        <v>1588.6</v>
      </c>
      <c r="K4" s="9">
        <v>1487.2</v>
      </c>
      <c r="L4" s="9">
        <v>1453.4</v>
      </c>
      <c r="M4" s="9">
        <v>1250.5999999999999</v>
      </c>
      <c r="N4" s="9">
        <f t="shared" ref="N4:N26" si="0">SUM(B4:M4)</f>
        <v>21158.799999999999</v>
      </c>
      <c r="O4" s="10">
        <f t="shared" ref="O4:O27" si="1">N4/$N$28</f>
        <v>5.7496418837884193E-2</v>
      </c>
    </row>
    <row r="5" spans="1:15" x14ac:dyDescent="0.4">
      <c r="A5" s="5" t="s">
        <v>2</v>
      </c>
      <c r="B5" s="11">
        <v>9943.75</v>
      </c>
      <c r="C5" s="11">
        <v>9157.5</v>
      </c>
      <c r="D5" s="11">
        <v>12487.5</v>
      </c>
      <c r="E5" s="11">
        <v>13412.5</v>
      </c>
      <c r="F5" s="11">
        <v>11516.25</v>
      </c>
      <c r="G5" s="11">
        <v>7042.45</v>
      </c>
      <c r="H5" s="11">
        <v>12718.75</v>
      </c>
      <c r="I5" s="11">
        <v>10822.5</v>
      </c>
      <c r="J5" s="11">
        <v>10868.75</v>
      </c>
      <c r="K5" s="11">
        <v>10267.5</v>
      </c>
      <c r="L5" s="11">
        <v>10175</v>
      </c>
      <c r="M5" s="11">
        <v>11886.25</v>
      </c>
      <c r="N5" s="9">
        <f t="shared" si="0"/>
        <v>130298.7</v>
      </c>
      <c r="O5" s="10">
        <f t="shared" si="1"/>
        <v>0.35407058194376906</v>
      </c>
    </row>
    <row r="6" spans="1:15" x14ac:dyDescent="0.4">
      <c r="A6" s="5" t="s">
        <v>3</v>
      </c>
      <c r="B6" s="9">
        <v>1968.75</v>
      </c>
      <c r="C6" s="9">
        <v>1481.25</v>
      </c>
      <c r="D6" s="9">
        <v>2325</v>
      </c>
      <c r="E6" s="9">
        <v>2550</v>
      </c>
      <c r="F6" s="9">
        <v>2793.75</v>
      </c>
      <c r="G6" s="9">
        <v>4893.75</v>
      </c>
      <c r="H6" s="9">
        <v>3168.75</v>
      </c>
      <c r="I6" s="9">
        <v>3412.5</v>
      </c>
      <c r="J6" s="9">
        <v>2475</v>
      </c>
      <c r="K6" s="9">
        <v>2025</v>
      </c>
      <c r="L6" s="9">
        <v>2212.5</v>
      </c>
      <c r="M6" s="9">
        <v>1875</v>
      </c>
      <c r="N6" s="9">
        <f t="shared" si="0"/>
        <v>31181.25</v>
      </c>
      <c r="O6" s="10">
        <f t="shared" si="1"/>
        <v>8.4731185600732395E-2</v>
      </c>
    </row>
    <row r="7" spans="1:15" x14ac:dyDescent="0.4">
      <c r="A7" s="5" t="s">
        <v>4</v>
      </c>
      <c r="B7" s="9">
        <v>1202.5</v>
      </c>
      <c r="C7" s="9">
        <v>1143.75</v>
      </c>
      <c r="D7" s="9">
        <v>1577.5</v>
      </c>
      <c r="E7" s="9">
        <v>2050</v>
      </c>
      <c r="F7" s="9">
        <v>2653.75</v>
      </c>
      <c r="G7" s="9">
        <v>3168.75</v>
      </c>
      <c r="H7" s="9">
        <v>4467.5</v>
      </c>
      <c r="I7" s="9">
        <v>4196.25</v>
      </c>
      <c r="J7" s="9">
        <v>2830</v>
      </c>
      <c r="K7" s="9">
        <v>2113.75</v>
      </c>
      <c r="L7" s="9">
        <v>1633.75</v>
      </c>
      <c r="M7" s="9">
        <v>1636.25</v>
      </c>
      <c r="N7" s="9">
        <f t="shared" si="0"/>
        <v>28673.75</v>
      </c>
      <c r="O7" s="10">
        <f t="shared" si="1"/>
        <v>7.7917364862505528E-2</v>
      </c>
    </row>
    <row r="8" spans="1:15" x14ac:dyDescent="0.4">
      <c r="A8" s="5" t="s">
        <v>5</v>
      </c>
      <c r="B8" s="9">
        <v>160</v>
      </c>
      <c r="C8" s="9">
        <v>207.5</v>
      </c>
      <c r="D8" s="9">
        <v>203</v>
      </c>
      <c r="E8" s="9">
        <v>316.5</v>
      </c>
      <c r="F8" s="9">
        <v>385</v>
      </c>
      <c r="G8" s="9">
        <v>301</v>
      </c>
      <c r="H8" s="9">
        <v>827</v>
      </c>
      <c r="I8" s="9">
        <v>699</v>
      </c>
      <c r="J8" s="9">
        <v>343</v>
      </c>
      <c r="K8" s="9">
        <v>239</v>
      </c>
      <c r="L8" s="9">
        <v>224.5</v>
      </c>
      <c r="M8" s="9">
        <v>277.5</v>
      </c>
      <c r="N8" s="9">
        <f t="shared" si="0"/>
        <v>4183</v>
      </c>
      <c r="O8" s="10">
        <f t="shared" si="1"/>
        <v>1.136678450568414E-2</v>
      </c>
    </row>
    <row r="9" spans="1:15" x14ac:dyDescent="0.4">
      <c r="A9" s="5" t="s">
        <v>6</v>
      </c>
      <c r="B9" s="9">
        <v>4446.75</v>
      </c>
      <c r="C9" s="9">
        <v>4593.75</v>
      </c>
      <c r="D9" s="9">
        <v>5785.5</v>
      </c>
      <c r="E9" s="9">
        <v>7754.25</v>
      </c>
      <c r="F9" s="9">
        <v>8799</v>
      </c>
      <c r="G9" s="9">
        <v>4452</v>
      </c>
      <c r="H9" s="9">
        <v>13644.75</v>
      </c>
      <c r="I9" s="9">
        <v>11980.5</v>
      </c>
      <c r="J9" s="9">
        <v>8604.75</v>
      </c>
      <c r="K9" s="9">
        <v>7355.25</v>
      </c>
      <c r="L9" s="9">
        <v>6095.25</v>
      </c>
      <c r="M9" s="9">
        <v>6300</v>
      </c>
      <c r="N9" s="9">
        <f t="shared" si="0"/>
        <v>89811.75</v>
      </c>
      <c r="O9" s="10">
        <f t="shared" si="1"/>
        <v>0.2440523089477355</v>
      </c>
    </row>
    <row r="10" spans="1:15" x14ac:dyDescent="0.4">
      <c r="A10" s="5" t="s">
        <v>7</v>
      </c>
      <c r="B10" s="9">
        <v>0</v>
      </c>
      <c r="C10" s="9">
        <v>30</v>
      </c>
      <c r="D10" s="9">
        <v>50</v>
      </c>
      <c r="E10" s="9">
        <v>0</v>
      </c>
      <c r="F10" s="9">
        <v>200</v>
      </c>
      <c r="G10" s="9">
        <v>0</v>
      </c>
      <c r="H10" s="9">
        <v>25</v>
      </c>
      <c r="I10" s="9">
        <v>25</v>
      </c>
      <c r="J10" s="9">
        <v>125</v>
      </c>
      <c r="K10" s="9">
        <v>0</v>
      </c>
      <c r="L10" s="9">
        <v>25</v>
      </c>
      <c r="M10" s="9">
        <v>0</v>
      </c>
      <c r="N10" s="9">
        <f t="shared" si="0"/>
        <v>480</v>
      </c>
      <c r="O10" s="10">
        <f t="shared" si="1"/>
        <v>1.3043405600593801E-3</v>
      </c>
    </row>
    <row r="11" spans="1:15" x14ac:dyDescent="0.4">
      <c r="A11" s="5" t="s">
        <v>8</v>
      </c>
      <c r="B11" s="9">
        <v>183</v>
      </c>
      <c r="C11" s="9">
        <v>123</v>
      </c>
      <c r="D11" s="9">
        <v>367.8</v>
      </c>
      <c r="E11" s="9">
        <v>226</v>
      </c>
      <c r="F11" s="9">
        <v>641</v>
      </c>
      <c r="G11" s="9">
        <v>1008</v>
      </c>
      <c r="H11" s="9">
        <v>523</v>
      </c>
      <c r="I11" s="9">
        <v>262</v>
      </c>
      <c r="J11" s="9">
        <v>1770.75</v>
      </c>
      <c r="K11" s="9">
        <v>437</v>
      </c>
      <c r="L11" s="9">
        <v>227</v>
      </c>
      <c r="M11" s="9">
        <v>698</v>
      </c>
      <c r="N11" s="9">
        <f t="shared" si="0"/>
        <v>6466.55</v>
      </c>
      <c r="O11" s="10">
        <f t="shared" si="1"/>
        <v>1.7572048851358303E-2</v>
      </c>
    </row>
    <row r="12" spans="1:15" x14ac:dyDescent="0.4">
      <c r="A12" s="5" t="s">
        <v>9</v>
      </c>
      <c r="B12" s="9">
        <v>6</v>
      </c>
      <c r="C12" s="9">
        <v>2</v>
      </c>
      <c r="D12" s="9">
        <v>22</v>
      </c>
      <c r="E12" s="9">
        <v>22</v>
      </c>
      <c r="F12" s="9">
        <v>34</v>
      </c>
      <c r="G12" s="9">
        <v>12</v>
      </c>
      <c r="H12" s="9">
        <v>28</v>
      </c>
      <c r="I12" s="9">
        <v>26</v>
      </c>
      <c r="J12" s="9">
        <v>34</v>
      </c>
      <c r="K12" s="9">
        <v>10</v>
      </c>
      <c r="L12" s="9">
        <v>4</v>
      </c>
      <c r="M12" s="9">
        <v>6</v>
      </c>
      <c r="N12" s="9">
        <f t="shared" si="0"/>
        <v>206</v>
      </c>
      <c r="O12" s="10">
        <f t="shared" si="1"/>
        <v>5.5977949035881729E-4</v>
      </c>
    </row>
    <row r="13" spans="1:15" x14ac:dyDescent="0.4">
      <c r="A13" s="5" t="s">
        <v>10</v>
      </c>
      <c r="B13" s="9">
        <f>104.5+11.4</f>
        <v>115.9</v>
      </c>
      <c r="C13" s="9">
        <f>82.5+9</f>
        <v>91.5</v>
      </c>
      <c r="D13" s="9">
        <f>126.5+13.8</f>
        <v>140.30000000000001</v>
      </c>
      <c r="E13" s="9">
        <f>93.5+10.2</f>
        <v>103.7</v>
      </c>
      <c r="F13" s="9">
        <f>110+12</f>
        <v>122</v>
      </c>
      <c r="G13" s="9">
        <f>66+7.2</f>
        <v>73.2</v>
      </c>
      <c r="H13" s="9">
        <v>0</v>
      </c>
      <c r="I13" s="9">
        <v>0</v>
      </c>
      <c r="J13" s="9">
        <f>93.5+10.2</f>
        <v>103.7</v>
      </c>
      <c r="K13" s="9">
        <f>110+12</f>
        <v>122</v>
      </c>
      <c r="L13" s="9">
        <f>104.5+11.4</f>
        <v>115.9</v>
      </c>
      <c r="M13" s="9">
        <f>71.5+7.8</f>
        <v>79.3</v>
      </c>
      <c r="N13" s="9">
        <f>SUM(B13:M13)</f>
        <v>1067.5000000000002</v>
      </c>
      <c r="O13" s="10">
        <f t="shared" si="1"/>
        <v>2.9007990580487263E-3</v>
      </c>
    </row>
    <row r="14" spans="1:15" x14ac:dyDescent="0.4">
      <c r="A14" s="5" t="s">
        <v>11</v>
      </c>
      <c r="B14" s="9">
        <v>0</v>
      </c>
      <c r="C14" s="9">
        <v>0</v>
      </c>
      <c r="D14" s="9">
        <v>50.5</v>
      </c>
      <c r="E14" s="9">
        <v>55.5</v>
      </c>
      <c r="F14" s="9">
        <v>238.5</v>
      </c>
      <c r="G14" s="9">
        <v>100</v>
      </c>
      <c r="H14" s="9">
        <v>98</v>
      </c>
      <c r="I14" s="9">
        <v>31.5</v>
      </c>
      <c r="J14" s="9">
        <v>150</v>
      </c>
      <c r="K14" s="9">
        <v>55.5</v>
      </c>
      <c r="L14" s="9">
        <v>254.5</v>
      </c>
      <c r="M14" s="9">
        <v>29.5</v>
      </c>
      <c r="N14" s="9">
        <f t="shared" si="0"/>
        <v>1063.5</v>
      </c>
      <c r="O14" s="10">
        <f t="shared" si="1"/>
        <v>2.8899295533815639E-3</v>
      </c>
    </row>
    <row r="15" spans="1:15" x14ac:dyDescent="0.4">
      <c r="A15" s="5" t="s">
        <v>12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f t="shared" si="0"/>
        <v>0</v>
      </c>
      <c r="O15" s="10">
        <f t="shared" si="1"/>
        <v>0</v>
      </c>
    </row>
    <row r="16" spans="1:15" x14ac:dyDescent="0.4">
      <c r="A16" s="5" t="s">
        <v>13</v>
      </c>
      <c r="B16" s="9">
        <v>0</v>
      </c>
      <c r="C16" s="9">
        <v>0</v>
      </c>
      <c r="D16" s="9">
        <v>0</v>
      </c>
      <c r="E16" s="9">
        <v>68</v>
      </c>
      <c r="F16" s="9">
        <v>2026</v>
      </c>
      <c r="G16" s="9">
        <v>1035</v>
      </c>
      <c r="H16" s="9">
        <v>2996</v>
      </c>
      <c r="I16" s="9">
        <v>2719</v>
      </c>
      <c r="J16" s="9">
        <v>2065</v>
      </c>
      <c r="K16" s="9">
        <v>0</v>
      </c>
      <c r="L16" s="9">
        <v>0</v>
      </c>
      <c r="M16" s="9">
        <v>0</v>
      </c>
      <c r="N16" s="9">
        <f t="shared" si="0"/>
        <v>10909</v>
      </c>
      <c r="O16" s="10">
        <f t="shared" si="1"/>
        <v>2.9643856603516205E-2</v>
      </c>
    </row>
    <row r="17" spans="1:15" x14ac:dyDescent="0.4">
      <c r="A17" s="5" t="s">
        <v>14</v>
      </c>
      <c r="B17" s="9">
        <v>118.75</v>
      </c>
      <c r="C17" s="9">
        <v>62.5</v>
      </c>
      <c r="D17" s="9">
        <v>93.75</v>
      </c>
      <c r="E17" s="9">
        <v>100</v>
      </c>
      <c r="F17" s="9">
        <v>175</v>
      </c>
      <c r="G17" s="9">
        <v>181.25</v>
      </c>
      <c r="H17" s="9">
        <v>231.25</v>
      </c>
      <c r="I17" s="9">
        <v>262.5</v>
      </c>
      <c r="J17" s="9">
        <v>75</v>
      </c>
      <c r="K17" s="9">
        <v>106.25</v>
      </c>
      <c r="L17" s="9">
        <v>87.5</v>
      </c>
      <c r="M17" s="9">
        <v>150</v>
      </c>
      <c r="N17" s="9">
        <f t="shared" si="0"/>
        <v>1643.75</v>
      </c>
      <c r="O17" s="10">
        <f t="shared" si="1"/>
        <v>4.4666870741616798E-3</v>
      </c>
    </row>
    <row r="18" spans="1:15" x14ac:dyDescent="0.4">
      <c r="A18" s="5" t="s">
        <v>15</v>
      </c>
      <c r="B18" s="9">
        <v>31.5</v>
      </c>
      <c r="C18" s="9">
        <v>31.5</v>
      </c>
      <c r="D18" s="9">
        <v>73.5</v>
      </c>
      <c r="E18" s="9">
        <v>59.5</v>
      </c>
      <c r="F18" s="9">
        <v>73.5</v>
      </c>
      <c r="G18" s="9">
        <v>66.5</v>
      </c>
      <c r="H18" s="9">
        <v>115.5</v>
      </c>
      <c r="I18" s="9">
        <v>56</v>
      </c>
      <c r="J18" s="9">
        <v>56</v>
      </c>
      <c r="K18" s="9">
        <v>42</v>
      </c>
      <c r="L18" s="9">
        <v>63</v>
      </c>
      <c r="M18" s="9">
        <v>38.5</v>
      </c>
      <c r="N18" s="9">
        <f t="shared" si="0"/>
        <v>707</v>
      </c>
      <c r="O18" s="10">
        <f t="shared" si="1"/>
        <v>1.9211849499207953E-3</v>
      </c>
    </row>
    <row r="19" spans="1:15" x14ac:dyDescent="0.4">
      <c r="A19" s="5" t="s">
        <v>16</v>
      </c>
      <c r="B19" s="9">
        <v>10.5</v>
      </c>
      <c r="C19" s="9">
        <v>19.75</v>
      </c>
      <c r="D19" s="9">
        <v>63</v>
      </c>
      <c r="E19" s="9">
        <v>147</v>
      </c>
      <c r="F19" s="9">
        <v>231</v>
      </c>
      <c r="G19" s="9">
        <v>126</v>
      </c>
      <c r="H19" s="9">
        <v>236.25</v>
      </c>
      <c r="I19" s="9">
        <v>162.75</v>
      </c>
      <c r="J19" s="9">
        <v>189</v>
      </c>
      <c r="K19" s="9">
        <v>178.5</v>
      </c>
      <c r="L19" s="9">
        <v>115.5</v>
      </c>
      <c r="M19" s="9">
        <v>78.75</v>
      </c>
      <c r="N19" s="9">
        <f t="shared" si="0"/>
        <v>1558</v>
      </c>
      <c r="O19" s="10">
        <f t="shared" si="1"/>
        <v>4.2336720678594047E-3</v>
      </c>
    </row>
    <row r="20" spans="1:15" x14ac:dyDescent="0.4">
      <c r="A20" s="5" t="s">
        <v>17</v>
      </c>
      <c r="B20" s="9">
        <v>553</v>
      </c>
      <c r="C20" s="9">
        <v>623</v>
      </c>
      <c r="D20" s="9">
        <v>672</v>
      </c>
      <c r="E20" s="9">
        <v>812</v>
      </c>
      <c r="F20" s="9">
        <v>847</v>
      </c>
      <c r="G20" s="9">
        <v>462</v>
      </c>
      <c r="H20" s="9">
        <v>1246</v>
      </c>
      <c r="I20" s="9">
        <v>1281</v>
      </c>
      <c r="J20" s="9">
        <v>1078</v>
      </c>
      <c r="K20" s="9">
        <v>1015</v>
      </c>
      <c r="L20" s="9">
        <v>840</v>
      </c>
      <c r="M20" s="9">
        <v>826</v>
      </c>
      <c r="N20" s="9">
        <f t="shared" si="0"/>
        <v>10255</v>
      </c>
      <c r="O20" s="10">
        <f t="shared" si="1"/>
        <v>2.78666925904353E-2</v>
      </c>
    </row>
    <row r="21" spans="1:15" x14ac:dyDescent="0.4">
      <c r="A21" s="5" t="s">
        <v>18</v>
      </c>
      <c r="B21" s="9">
        <v>306</v>
      </c>
      <c r="C21" s="9">
        <v>243</v>
      </c>
      <c r="D21" s="9">
        <v>396</v>
      </c>
      <c r="E21" s="9">
        <v>378</v>
      </c>
      <c r="F21" s="9">
        <v>909</v>
      </c>
      <c r="G21" s="9">
        <v>378</v>
      </c>
      <c r="H21" s="9">
        <v>702</v>
      </c>
      <c r="I21" s="9">
        <v>720</v>
      </c>
      <c r="J21" s="9">
        <v>846</v>
      </c>
      <c r="K21" s="9">
        <v>792</v>
      </c>
      <c r="L21" s="9">
        <v>657</v>
      </c>
      <c r="M21" s="9">
        <v>630</v>
      </c>
      <c r="N21" s="9">
        <f t="shared" si="0"/>
        <v>6957</v>
      </c>
      <c r="O21" s="10">
        <f t="shared" si="1"/>
        <v>1.8904785992360642E-2</v>
      </c>
    </row>
    <row r="22" spans="1:15" x14ac:dyDescent="0.4">
      <c r="A22" s="5" t="s">
        <v>19</v>
      </c>
      <c r="B22" s="9">
        <v>220.5</v>
      </c>
      <c r="C22" s="9">
        <v>147</v>
      </c>
      <c r="D22" s="9">
        <v>262.5</v>
      </c>
      <c r="E22" s="9">
        <v>325.5</v>
      </c>
      <c r="F22" s="9">
        <v>367.5</v>
      </c>
      <c r="G22" s="9">
        <v>220.5</v>
      </c>
      <c r="H22" s="9">
        <v>651</v>
      </c>
      <c r="I22" s="9">
        <v>546</v>
      </c>
      <c r="J22" s="9">
        <v>577.5</v>
      </c>
      <c r="K22" s="9">
        <v>346.5</v>
      </c>
      <c r="L22" s="9">
        <v>315</v>
      </c>
      <c r="M22" s="9">
        <v>241.5</v>
      </c>
      <c r="N22" s="9">
        <f t="shared" si="0"/>
        <v>4221</v>
      </c>
      <c r="O22" s="10">
        <f t="shared" si="1"/>
        <v>1.1470044800022174E-2</v>
      </c>
    </row>
    <row r="23" spans="1:15" x14ac:dyDescent="0.4">
      <c r="A23" s="5" t="s">
        <v>20</v>
      </c>
      <c r="B23" s="9">
        <v>168</v>
      </c>
      <c r="C23" s="9">
        <v>154</v>
      </c>
      <c r="D23" s="9">
        <v>798</v>
      </c>
      <c r="E23" s="9">
        <v>532</v>
      </c>
      <c r="F23" s="9">
        <v>280</v>
      </c>
      <c r="G23" s="9">
        <v>294</v>
      </c>
      <c r="H23" s="9">
        <v>546</v>
      </c>
      <c r="I23" s="9">
        <v>1302</v>
      </c>
      <c r="J23" s="9">
        <v>714</v>
      </c>
      <c r="K23" s="9">
        <v>700</v>
      </c>
      <c r="L23" s="9">
        <v>392</v>
      </c>
      <c r="M23" s="9">
        <v>378</v>
      </c>
      <c r="N23" s="9">
        <f t="shared" si="0"/>
        <v>6258</v>
      </c>
      <c r="O23" s="10">
        <f t="shared" si="1"/>
        <v>1.7005340051774169E-2</v>
      </c>
    </row>
    <row r="24" spans="1:15" x14ac:dyDescent="0.4">
      <c r="A24" s="5" t="s">
        <v>21</v>
      </c>
      <c r="B24" s="9">
        <v>144</v>
      </c>
      <c r="C24" s="9">
        <v>126</v>
      </c>
      <c r="D24" s="9">
        <v>162</v>
      </c>
      <c r="E24" s="9">
        <v>252</v>
      </c>
      <c r="F24" s="9">
        <v>252</v>
      </c>
      <c r="G24" s="9">
        <v>234</v>
      </c>
      <c r="H24" s="9">
        <v>288</v>
      </c>
      <c r="I24" s="9">
        <v>234</v>
      </c>
      <c r="J24" s="9">
        <v>234</v>
      </c>
      <c r="K24" s="9">
        <v>162</v>
      </c>
      <c r="L24" s="9">
        <v>216</v>
      </c>
      <c r="M24" s="9">
        <v>144</v>
      </c>
      <c r="N24" s="9">
        <f t="shared" si="0"/>
        <v>2448</v>
      </c>
      <c r="O24" s="10">
        <f t="shared" si="1"/>
        <v>6.6521368563028389E-3</v>
      </c>
    </row>
    <row r="25" spans="1:15" x14ac:dyDescent="0.4">
      <c r="A25" s="5" t="s">
        <v>22</v>
      </c>
      <c r="B25" s="9">
        <v>75</v>
      </c>
      <c r="C25" s="9">
        <v>215</v>
      </c>
      <c r="D25" s="9">
        <v>175</v>
      </c>
      <c r="E25" s="9">
        <v>250</v>
      </c>
      <c r="F25" s="9">
        <v>325</v>
      </c>
      <c r="G25" s="9">
        <v>125</v>
      </c>
      <c r="H25" s="9">
        <v>125</v>
      </c>
      <c r="I25" s="9">
        <v>300</v>
      </c>
      <c r="J25" s="9">
        <v>700</v>
      </c>
      <c r="K25" s="9">
        <v>125</v>
      </c>
      <c r="L25" s="9">
        <v>175</v>
      </c>
      <c r="M25" s="9">
        <v>175</v>
      </c>
      <c r="N25" s="9">
        <f t="shared" si="0"/>
        <v>2765</v>
      </c>
      <c r="O25" s="10">
        <f t="shared" si="1"/>
        <v>7.5135451011753875E-3</v>
      </c>
    </row>
    <row r="26" spans="1:15" x14ac:dyDescent="0.4">
      <c r="A26" s="5" t="s">
        <v>23</v>
      </c>
      <c r="B26" s="9">
        <v>36.5</v>
      </c>
      <c r="C26" s="9">
        <v>24</v>
      </c>
      <c r="D26" s="9">
        <v>36.75</v>
      </c>
      <c r="E26" s="9">
        <v>84</v>
      </c>
      <c r="F26" s="9">
        <v>99.75</v>
      </c>
      <c r="G26" s="9">
        <v>36.75</v>
      </c>
      <c r="H26" s="9">
        <v>89.25</v>
      </c>
      <c r="I26" s="9">
        <v>63</v>
      </c>
      <c r="J26" s="9">
        <v>73.5</v>
      </c>
      <c r="K26" s="9">
        <v>57.75</v>
      </c>
      <c r="L26" s="9">
        <v>21</v>
      </c>
      <c r="M26" s="9">
        <v>5.25</v>
      </c>
      <c r="N26" s="9">
        <f t="shared" si="0"/>
        <v>627.5</v>
      </c>
      <c r="O26" s="10">
        <f t="shared" si="1"/>
        <v>1.7051535446609605E-3</v>
      </c>
    </row>
    <row r="27" spans="1:15" x14ac:dyDescent="0.4">
      <c r="A27" s="5" t="s">
        <v>24</v>
      </c>
      <c r="B27" s="9">
        <v>87</v>
      </c>
      <c r="C27" s="9">
        <v>0</v>
      </c>
      <c r="D27" s="9">
        <v>100</v>
      </c>
      <c r="E27" s="9">
        <v>50</v>
      </c>
      <c r="F27" s="9">
        <v>950</v>
      </c>
      <c r="G27" s="9">
        <v>475</v>
      </c>
      <c r="H27" s="9">
        <v>450</v>
      </c>
      <c r="I27" s="9">
        <v>25</v>
      </c>
      <c r="J27" s="9">
        <v>650</v>
      </c>
      <c r="K27" s="9">
        <v>275</v>
      </c>
      <c r="L27" s="9">
        <v>1800</v>
      </c>
      <c r="M27" s="9">
        <v>200</v>
      </c>
      <c r="N27" s="9">
        <f>SUM(B27:M27)</f>
        <v>5062</v>
      </c>
      <c r="O27" s="10">
        <f t="shared" si="1"/>
        <v>1.375535815629288E-2</v>
      </c>
    </row>
    <row r="28" spans="1:15" x14ac:dyDescent="0.4">
      <c r="A28" s="5" t="s">
        <v>25</v>
      </c>
      <c r="B28" s="9">
        <f>SUM(B4:B27)</f>
        <v>21332.2</v>
      </c>
      <c r="C28" s="9">
        <f t="shared" ref="C28:O28" si="2">SUM(C4:C27)</f>
        <v>19625.2</v>
      </c>
      <c r="D28" s="9">
        <f t="shared" si="2"/>
        <v>27599.199999999997</v>
      </c>
      <c r="E28" s="9">
        <f t="shared" si="2"/>
        <v>31373.65</v>
      </c>
      <c r="F28" s="9">
        <f t="shared" si="2"/>
        <v>36420.199999999997</v>
      </c>
      <c r="G28" s="9">
        <f t="shared" si="2"/>
        <v>26104.75</v>
      </c>
      <c r="H28" s="9">
        <f t="shared" si="2"/>
        <v>46117.599999999999</v>
      </c>
      <c r="I28" s="9">
        <f t="shared" si="2"/>
        <v>41357.300000000003</v>
      </c>
      <c r="J28" s="9">
        <f t="shared" si="2"/>
        <v>36151.550000000003</v>
      </c>
      <c r="K28" s="9">
        <f t="shared" si="2"/>
        <v>27912.2</v>
      </c>
      <c r="L28" s="9">
        <f t="shared" si="2"/>
        <v>27102.800000000003</v>
      </c>
      <c r="M28" s="9">
        <f t="shared" si="2"/>
        <v>26905.399999999998</v>
      </c>
      <c r="N28" s="9">
        <f t="shared" si="2"/>
        <v>368002.05</v>
      </c>
      <c r="O28" s="10">
        <f t="shared" si="2"/>
        <v>1</v>
      </c>
    </row>
    <row r="29" spans="1:15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>
        <f>SUM(B28:M28)</f>
        <v>368002.05000000005</v>
      </c>
      <c r="O29" s="5"/>
    </row>
    <row r="30" spans="1:15" x14ac:dyDescent="0.4">
      <c r="A30" s="12"/>
    </row>
  </sheetData>
  <phoneticPr fontId="0" type="noConversion"/>
  <pageMargins left="0.24" right="0.24" top="1" bottom="1" header="0.5" footer="0.5"/>
  <pageSetup scale="7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30"/>
  <sheetViews>
    <sheetView showGridLines="0" topLeftCell="K1" workbookViewId="0">
      <selection activeCell="A12" sqref="A12:IV12"/>
    </sheetView>
  </sheetViews>
  <sheetFormatPr defaultColWidth="9.75" defaultRowHeight="16.2" x14ac:dyDescent="0.4"/>
  <cols>
    <col min="1" max="1" width="20.75" style="4" customWidth="1"/>
    <col min="2" max="2" width="10.4140625" style="4" customWidth="1"/>
    <col min="3" max="3" width="9.33203125" style="4" customWidth="1"/>
    <col min="4" max="4" width="9.25" style="4" customWidth="1"/>
    <col min="5" max="5" width="9.33203125" style="4" bestFit="1" customWidth="1"/>
    <col min="6" max="6" width="9.4140625" style="4" customWidth="1"/>
    <col min="7" max="7" width="9.33203125" style="4" bestFit="1" customWidth="1"/>
    <col min="8" max="8" width="9.25" style="4" customWidth="1"/>
    <col min="9" max="9" width="9.33203125" style="4" bestFit="1" customWidth="1"/>
    <col min="10" max="10" width="9.4140625" style="4" customWidth="1"/>
    <col min="11" max="12" width="9.33203125" style="4" customWidth="1"/>
    <col min="13" max="13" width="9.33203125" style="4" bestFit="1" customWidth="1"/>
    <col min="14" max="14" width="10.25" style="4" customWidth="1"/>
    <col min="15" max="15" width="8.08203125" style="4" customWidth="1"/>
    <col min="16" max="16384" width="9.75" style="4"/>
  </cols>
  <sheetData>
    <row r="1" spans="1:16" ht="18.600000000000001" x14ac:dyDescent="0.45">
      <c r="A1" s="3" t="s">
        <v>39</v>
      </c>
    </row>
    <row r="3" spans="1:16" ht="16.8" x14ac:dyDescent="0.45">
      <c r="A3" s="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36</v>
      </c>
      <c r="M3" s="6" t="s">
        <v>37</v>
      </c>
      <c r="N3" s="6" t="s">
        <v>25</v>
      </c>
      <c r="O3" s="8" t="s">
        <v>38</v>
      </c>
      <c r="P3" s="5"/>
    </row>
    <row r="4" spans="1:16" x14ac:dyDescent="0.4">
      <c r="A4" s="5" t="s">
        <v>1</v>
      </c>
      <c r="B4" s="9">
        <v>1352</v>
      </c>
      <c r="C4" s="9">
        <v>1284.4000000000001</v>
      </c>
      <c r="D4" s="9">
        <v>1791.4</v>
      </c>
      <c r="E4" s="9">
        <v>1690</v>
      </c>
      <c r="F4" s="9">
        <v>2129.4</v>
      </c>
      <c r="G4" s="9">
        <v>1994.2</v>
      </c>
      <c r="H4" s="9">
        <v>2399.8000000000002</v>
      </c>
      <c r="I4" s="9">
        <v>2366</v>
      </c>
      <c r="J4" s="9">
        <v>1521</v>
      </c>
      <c r="K4" s="9">
        <v>1723.8</v>
      </c>
      <c r="L4" s="9">
        <v>1014</v>
      </c>
      <c r="M4" s="9">
        <v>1419.6</v>
      </c>
      <c r="N4" s="9">
        <f t="shared" ref="N4:N27" si="0">SUM(B4:M4)</f>
        <v>20685.599999999999</v>
      </c>
      <c r="O4" s="10">
        <f t="shared" ref="O4:O27" si="1">N4/$N$28</f>
        <v>5.6291589869494917E-2</v>
      </c>
      <c r="P4" s="5"/>
    </row>
    <row r="5" spans="1:16" x14ac:dyDescent="0.4">
      <c r="A5" s="5" t="s">
        <v>2</v>
      </c>
      <c r="B5" s="11">
        <v>10128.75</v>
      </c>
      <c r="C5" s="11">
        <v>10511.2</v>
      </c>
      <c r="D5" s="11">
        <v>11516.25</v>
      </c>
      <c r="E5" s="11">
        <v>12395</v>
      </c>
      <c r="F5" s="11">
        <v>13412.5</v>
      </c>
      <c r="G5" s="11">
        <v>13366.25</v>
      </c>
      <c r="H5" s="11">
        <v>11701.25</v>
      </c>
      <c r="I5" s="11">
        <v>11285</v>
      </c>
      <c r="J5" s="11">
        <v>10498.75</v>
      </c>
      <c r="K5" s="11">
        <v>11423.75</v>
      </c>
      <c r="L5" s="11">
        <v>9990</v>
      </c>
      <c r="M5" s="11">
        <v>11007.5</v>
      </c>
      <c r="N5" s="9">
        <f t="shared" si="0"/>
        <v>137236.20000000001</v>
      </c>
      <c r="O5" s="10">
        <f t="shared" si="1"/>
        <v>0.37345998596356783</v>
      </c>
      <c r="P5" s="5"/>
    </row>
    <row r="6" spans="1:16" x14ac:dyDescent="0.4">
      <c r="A6" s="5" t="s">
        <v>3</v>
      </c>
      <c r="B6" s="9">
        <v>1912.5</v>
      </c>
      <c r="C6" s="9">
        <v>1631.25</v>
      </c>
      <c r="D6" s="9">
        <v>2231.25</v>
      </c>
      <c r="E6" s="9">
        <v>2400</v>
      </c>
      <c r="F6" s="9">
        <v>2681.25</v>
      </c>
      <c r="G6" s="9">
        <v>2531.25</v>
      </c>
      <c r="H6" s="9">
        <v>3600</v>
      </c>
      <c r="I6" s="9">
        <v>3375</v>
      </c>
      <c r="J6" s="9">
        <v>2156.25</v>
      </c>
      <c r="K6" s="9">
        <v>2400</v>
      </c>
      <c r="L6" s="9">
        <v>2175</v>
      </c>
      <c r="M6" s="9">
        <v>1725</v>
      </c>
      <c r="N6" s="9">
        <f t="shared" si="0"/>
        <v>28818.75</v>
      </c>
      <c r="O6" s="10">
        <f t="shared" si="1"/>
        <v>7.8424278510244166E-2</v>
      </c>
      <c r="P6" s="5"/>
    </row>
    <row r="7" spans="1:16" x14ac:dyDescent="0.4">
      <c r="A7" s="5" t="s">
        <v>4</v>
      </c>
      <c r="B7" s="9">
        <v>1063.75</v>
      </c>
      <c r="C7" s="9">
        <v>1266.25</v>
      </c>
      <c r="D7" s="9">
        <v>1553.75</v>
      </c>
      <c r="E7" s="9">
        <v>1851.25</v>
      </c>
      <c r="F7" s="9">
        <v>2576.25</v>
      </c>
      <c r="G7" s="9">
        <v>2803.75</v>
      </c>
      <c r="H7" s="9">
        <v>4343.75</v>
      </c>
      <c r="I7" s="9">
        <v>4503.75</v>
      </c>
      <c r="J7" s="9">
        <v>2810</v>
      </c>
      <c r="K7" s="9">
        <v>1970</v>
      </c>
      <c r="L7" s="9">
        <v>1553.75</v>
      </c>
      <c r="M7" s="9">
        <v>1377.5</v>
      </c>
      <c r="N7" s="9">
        <f t="shared" si="0"/>
        <v>27673.75</v>
      </c>
      <c r="O7" s="10">
        <f t="shared" si="1"/>
        <v>7.5308397394851248E-2</v>
      </c>
      <c r="P7" s="5"/>
    </row>
    <row r="8" spans="1:16" x14ac:dyDescent="0.4">
      <c r="A8" s="5" t="s">
        <v>5</v>
      </c>
      <c r="B8" s="9">
        <v>191</v>
      </c>
      <c r="C8" s="9">
        <v>214</v>
      </c>
      <c r="D8" s="9">
        <v>201.5</v>
      </c>
      <c r="E8" s="9">
        <v>277</v>
      </c>
      <c r="F8" s="9">
        <v>354</v>
      </c>
      <c r="G8" s="9">
        <v>398.5</v>
      </c>
      <c r="H8" s="9">
        <v>792.5</v>
      </c>
      <c r="I8" s="9">
        <v>799.5</v>
      </c>
      <c r="J8" s="9">
        <v>351</v>
      </c>
      <c r="K8" s="9">
        <v>194</v>
      </c>
      <c r="L8" s="9">
        <v>225.5</v>
      </c>
      <c r="M8" s="9">
        <v>233</v>
      </c>
      <c r="N8" s="9">
        <f t="shared" si="0"/>
        <v>4231.5</v>
      </c>
      <c r="O8" s="10">
        <f t="shared" si="1"/>
        <v>1.1515153659200977E-2</v>
      </c>
      <c r="P8" s="5"/>
    </row>
    <row r="9" spans="1:16" x14ac:dyDescent="0.4">
      <c r="A9" s="5" t="s">
        <v>6</v>
      </c>
      <c r="B9" s="9">
        <v>3785.25</v>
      </c>
      <c r="C9" s="9">
        <v>4457.25</v>
      </c>
      <c r="D9" s="9">
        <v>5517.75</v>
      </c>
      <c r="E9" s="9">
        <v>6515.25</v>
      </c>
      <c r="F9" s="9">
        <v>8221.5</v>
      </c>
      <c r="G9" s="9">
        <v>8095.5</v>
      </c>
      <c r="H9" s="9">
        <v>12411</v>
      </c>
      <c r="I9" s="9">
        <v>12405.75</v>
      </c>
      <c r="J9" s="9">
        <v>8505</v>
      </c>
      <c r="K9" s="9">
        <v>6615</v>
      </c>
      <c r="L9" s="9">
        <v>5638.5</v>
      </c>
      <c r="M9" s="9">
        <v>5386.5</v>
      </c>
      <c r="N9" s="9">
        <f t="shared" si="0"/>
        <v>87554.25</v>
      </c>
      <c r="O9" s="10">
        <f t="shared" si="1"/>
        <v>0.23826081584924902</v>
      </c>
      <c r="P9" s="5"/>
    </row>
    <row r="10" spans="1:16" x14ac:dyDescent="0.4">
      <c r="A10" s="5" t="s">
        <v>7</v>
      </c>
      <c r="B10" s="9">
        <v>100</v>
      </c>
      <c r="C10" s="9">
        <v>25</v>
      </c>
      <c r="D10" s="9">
        <v>0</v>
      </c>
      <c r="E10" s="9">
        <v>0</v>
      </c>
      <c r="F10" s="9">
        <v>0</v>
      </c>
      <c r="G10" s="9">
        <v>100</v>
      </c>
      <c r="H10" s="9">
        <v>25</v>
      </c>
      <c r="I10" s="9">
        <v>25</v>
      </c>
      <c r="J10" s="9">
        <v>525</v>
      </c>
      <c r="K10" s="9">
        <v>350</v>
      </c>
      <c r="L10" s="9">
        <v>75</v>
      </c>
      <c r="M10" s="9">
        <v>175</v>
      </c>
      <c r="N10" s="9">
        <f t="shared" si="0"/>
        <v>1400</v>
      </c>
      <c r="O10" s="10">
        <f t="shared" si="1"/>
        <v>3.8098109707860968E-3</v>
      </c>
      <c r="P10" s="5"/>
    </row>
    <row r="11" spans="1:16" x14ac:dyDescent="0.4">
      <c r="A11" s="5" t="s">
        <v>8</v>
      </c>
      <c r="B11" s="9">
        <v>155</v>
      </c>
      <c r="C11" s="9">
        <v>716</v>
      </c>
      <c r="D11" s="9">
        <v>634</v>
      </c>
      <c r="E11" s="9">
        <v>980</v>
      </c>
      <c r="F11" s="9">
        <v>530</v>
      </c>
      <c r="G11" s="9">
        <v>976</v>
      </c>
      <c r="H11" s="9">
        <v>612</v>
      </c>
      <c r="I11" s="9">
        <v>473</v>
      </c>
      <c r="J11" s="9">
        <v>1545</v>
      </c>
      <c r="K11" s="9">
        <v>241.75</v>
      </c>
      <c r="L11" s="9">
        <v>723</v>
      </c>
      <c r="M11" s="9">
        <v>1584</v>
      </c>
      <c r="N11" s="9">
        <f t="shared" si="0"/>
        <v>9169.75</v>
      </c>
      <c r="O11" s="10">
        <f t="shared" si="1"/>
        <v>2.4953581535261293E-2</v>
      </c>
      <c r="P11" s="5"/>
    </row>
    <row r="12" spans="1:16" x14ac:dyDescent="0.4">
      <c r="A12" s="5" t="s">
        <v>9</v>
      </c>
      <c r="B12" s="9">
        <v>20</v>
      </c>
      <c r="C12" s="9">
        <v>12</v>
      </c>
      <c r="D12" s="9">
        <v>26</v>
      </c>
      <c r="E12" s="9">
        <v>16</v>
      </c>
      <c r="F12" s="9">
        <v>22</v>
      </c>
      <c r="G12" s="9">
        <v>34</v>
      </c>
      <c r="H12" s="9">
        <v>38</v>
      </c>
      <c r="I12" s="9">
        <v>56</v>
      </c>
      <c r="J12" s="9">
        <v>64</v>
      </c>
      <c r="K12" s="9">
        <v>12</v>
      </c>
      <c r="L12" s="9">
        <v>8</v>
      </c>
      <c r="M12" s="9">
        <v>4</v>
      </c>
      <c r="N12" s="9">
        <f t="shared" si="0"/>
        <v>312</v>
      </c>
      <c r="O12" s="10">
        <f t="shared" si="1"/>
        <v>8.4904358777518731E-4</v>
      </c>
      <c r="P12" s="5"/>
    </row>
    <row r="13" spans="1:16" x14ac:dyDescent="0.4">
      <c r="A13" s="5" t="s">
        <v>10</v>
      </c>
      <c r="B13" s="9">
        <f>99+10.8</f>
        <v>109.8</v>
      </c>
      <c r="C13" s="9">
        <f>104.5+11.4</f>
        <v>115.9</v>
      </c>
      <c r="D13" s="9">
        <f>121+13.2</f>
        <v>134.19999999999999</v>
      </c>
      <c r="E13" s="9">
        <f>93.5+10.2</f>
        <v>103.7</v>
      </c>
      <c r="F13" s="9">
        <f>110+12</f>
        <v>122</v>
      </c>
      <c r="G13" s="9">
        <f>55+6</f>
        <v>61</v>
      </c>
      <c r="H13" s="9">
        <v>0</v>
      </c>
      <c r="I13" s="9">
        <v>0</v>
      </c>
      <c r="J13" s="9">
        <f>115.5+12.6</f>
        <v>128.1</v>
      </c>
      <c r="K13" s="9">
        <f>115.5+12.6</f>
        <v>128.1</v>
      </c>
      <c r="L13" s="9">
        <f>99+10.8</f>
        <v>109.8</v>
      </c>
      <c r="M13" s="9">
        <f>77+8.4</f>
        <v>85.4</v>
      </c>
      <c r="N13" s="9">
        <f t="shared" si="0"/>
        <v>1098</v>
      </c>
      <c r="O13" s="10">
        <f t="shared" si="1"/>
        <v>2.9879803185165247E-3</v>
      </c>
      <c r="P13" s="5"/>
    </row>
    <row r="14" spans="1:16" x14ac:dyDescent="0.4">
      <c r="A14" s="5" t="s">
        <v>11</v>
      </c>
      <c r="B14" s="9">
        <v>12</v>
      </c>
      <c r="C14" s="9">
        <v>59.5</v>
      </c>
      <c r="D14" s="9">
        <v>26.5</v>
      </c>
      <c r="E14" s="9">
        <v>22.5</v>
      </c>
      <c r="F14" s="9">
        <v>36.5</v>
      </c>
      <c r="G14" s="9">
        <v>79</v>
      </c>
      <c r="H14" s="9">
        <v>119.5</v>
      </c>
      <c r="I14" s="9">
        <v>72</v>
      </c>
      <c r="J14" s="9">
        <v>12</v>
      </c>
      <c r="K14" s="9">
        <v>21</v>
      </c>
      <c r="L14" s="9">
        <v>37.5</v>
      </c>
      <c r="M14" s="9">
        <v>2.5</v>
      </c>
      <c r="N14" s="9">
        <f t="shared" si="0"/>
        <v>500.5</v>
      </c>
      <c r="O14" s="10">
        <f t="shared" si="1"/>
        <v>1.3620074220560296E-3</v>
      </c>
      <c r="P14" s="5"/>
    </row>
    <row r="15" spans="1:16" x14ac:dyDescent="0.4">
      <c r="A15" s="5" t="s">
        <v>12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f t="shared" si="0"/>
        <v>0</v>
      </c>
      <c r="O15" s="10">
        <f t="shared" si="1"/>
        <v>0</v>
      </c>
      <c r="P15" s="5"/>
    </row>
    <row r="16" spans="1:16" x14ac:dyDescent="0.4">
      <c r="A16" s="5" t="s">
        <v>13</v>
      </c>
      <c r="B16" s="9">
        <v>0</v>
      </c>
      <c r="C16" s="9">
        <v>0</v>
      </c>
      <c r="D16" s="9">
        <v>0</v>
      </c>
      <c r="E16" s="9">
        <v>0</v>
      </c>
      <c r="F16" s="9">
        <v>1847</v>
      </c>
      <c r="G16" s="9">
        <v>1865</v>
      </c>
      <c r="H16" s="9">
        <v>2752</v>
      </c>
      <c r="I16" s="9">
        <v>2717</v>
      </c>
      <c r="J16" s="9">
        <v>1973</v>
      </c>
      <c r="K16" s="9">
        <v>0</v>
      </c>
      <c r="L16" s="9">
        <v>0</v>
      </c>
      <c r="M16" s="9">
        <v>0</v>
      </c>
      <c r="N16" s="9">
        <f t="shared" si="0"/>
        <v>11154</v>
      </c>
      <c r="O16" s="10">
        <f t="shared" si="1"/>
        <v>3.0353308262962946E-2</v>
      </c>
      <c r="P16" s="5"/>
    </row>
    <row r="17" spans="1:16" x14ac:dyDescent="0.4">
      <c r="A17" s="5" t="s">
        <v>14</v>
      </c>
      <c r="B17" s="9">
        <v>118.75</v>
      </c>
      <c r="C17" s="9">
        <v>143.75</v>
      </c>
      <c r="D17" s="9">
        <v>156.25</v>
      </c>
      <c r="E17" s="9">
        <v>143.75</v>
      </c>
      <c r="F17" s="9">
        <v>181.25</v>
      </c>
      <c r="G17" s="9">
        <v>218.75</v>
      </c>
      <c r="H17" s="9">
        <v>206.25</v>
      </c>
      <c r="I17" s="9">
        <v>243.75</v>
      </c>
      <c r="J17" s="9">
        <v>112.5</v>
      </c>
      <c r="K17" s="9">
        <v>125</v>
      </c>
      <c r="L17" s="9">
        <v>156.25</v>
      </c>
      <c r="M17" s="9">
        <v>125</v>
      </c>
      <c r="N17" s="9">
        <f t="shared" si="0"/>
        <v>1931.25</v>
      </c>
      <c r="O17" s="10">
        <f t="shared" si="1"/>
        <v>5.2554981695218921E-3</v>
      </c>
      <c r="P17" s="5"/>
    </row>
    <row r="18" spans="1:16" x14ac:dyDescent="0.4">
      <c r="A18" s="5" t="s">
        <v>15</v>
      </c>
      <c r="B18" s="9">
        <v>31.5</v>
      </c>
      <c r="C18" s="9">
        <v>66.5</v>
      </c>
      <c r="D18" s="9">
        <v>42</v>
      </c>
      <c r="E18" s="9">
        <v>73.5</v>
      </c>
      <c r="F18" s="9">
        <v>112</v>
      </c>
      <c r="G18" s="9">
        <v>101.5</v>
      </c>
      <c r="H18" s="9">
        <v>112</v>
      </c>
      <c r="I18" s="9">
        <v>87.5</v>
      </c>
      <c r="J18" s="9">
        <v>42</v>
      </c>
      <c r="K18" s="9">
        <v>91</v>
      </c>
      <c r="L18" s="9">
        <v>31.5</v>
      </c>
      <c r="M18" s="9">
        <v>24.5</v>
      </c>
      <c r="N18" s="9">
        <f t="shared" si="0"/>
        <v>815.5</v>
      </c>
      <c r="O18" s="10">
        <f t="shared" si="1"/>
        <v>2.2192148904829016E-3</v>
      </c>
      <c r="P18" s="5"/>
    </row>
    <row r="19" spans="1:16" x14ac:dyDescent="0.4">
      <c r="A19" s="5" t="s">
        <v>16</v>
      </c>
      <c r="B19" s="9">
        <v>47.25</v>
      </c>
      <c r="C19" s="9">
        <v>31.5</v>
      </c>
      <c r="D19" s="9">
        <v>73.5</v>
      </c>
      <c r="E19" s="9">
        <v>84</v>
      </c>
      <c r="F19" s="9">
        <v>178.5</v>
      </c>
      <c r="G19" s="9">
        <v>141.75</v>
      </c>
      <c r="H19" s="9">
        <v>241.5</v>
      </c>
      <c r="I19" s="9">
        <v>215.25</v>
      </c>
      <c r="J19" s="9">
        <v>199.5</v>
      </c>
      <c r="K19" s="9">
        <v>131.25</v>
      </c>
      <c r="L19" s="9">
        <v>57.75</v>
      </c>
      <c r="M19" s="9">
        <v>10.5</v>
      </c>
      <c r="N19" s="9">
        <f t="shared" si="0"/>
        <v>1412.25</v>
      </c>
      <c r="O19" s="10">
        <f t="shared" si="1"/>
        <v>3.8431468167804753E-3</v>
      </c>
      <c r="P19" s="5"/>
    </row>
    <row r="20" spans="1:16" x14ac:dyDescent="0.4">
      <c r="A20" s="5" t="s">
        <v>17</v>
      </c>
      <c r="B20" s="9">
        <v>889</v>
      </c>
      <c r="C20" s="9">
        <v>840</v>
      </c>
      <c r="D20" s="9">
        <v>784</v>
      </c>
      <c r="E20" s="9">
        <v>1162</v>
      </c>
      <c r="F20" s="9">
        <v>966</v>
      </c>
      <c r="G20" s="9">
        <v>1078</v>
      </c>
      <c r="H20" s="9">
        <v>1211</v>
      </c>
      <c r="I20" s="9">
        <v>1204</v>
      </c>
      <c r="J20" s="9">
        <v>1029</v>
      </c>
      <c r="K20" s="9">
        <v>1001</v>
      </c>
      <c r="L20" s="9">
        <v>847</v>
      </c>
      <c r="M20" s="9">
        <v>637</v>
      </c>
      <c r="N20" s="9">
        <f t="shared" si="0"/>
        <v>11648</v>
      </c>
      <c r="O20" s="10">
        <f t="shared" si="1"/>
        <v>3.1697627276940324E-2</v>
      </c>
      <c r="P20" s="5"/>
    </row>
    <row r="21" spans="1:16" x14ac:dyDescent="0.4">
      <c r="A21" s="5" t="s">
        <v>18</v>
      </c>
      <c r="B21" s="9">
        <v>369</v>
      </c>
      <c r="C21" s="9">
        <v>639</v>
      </c>
      <c r="D21" s="9">
        <v>558</v>
      </c>
      <c r="E21" s="9">
        <v>360</v>
      </c>
      <c r="F21" s="9">
        <v>594</v>
      </c>
      <c r="G21" s="9">
        <v>603</v>
      </c>
      <c r="H21" s="9">
        <v>621</v>
      </c>
      <c r="I21" s="9">
        <v>486</v>
      </c>
      <c r="J21" s="9">
        <v>639</v>
      </c>
      <c r="K21" s="9">
        <v>468</v>
      </c>
      <c r="L21" s="9">
        <v>432</v>
      </c>
      <c r="M21" s="9">
        <v>621</v>
      </c>
      <c r="N21" s="9">
        <f t="shared" si="0"/>
        <v>6390</v>
      </c>
      <c r="O21" s="10">
        <f t="shared" si="1"/>
        <v>1.7389065788087972E-2</v>
      </c>
      <c r="P21" s="5"/>
    </row>
    <row r="22" spans="1:16" x14ac:dyDescent="0.4">
      <c r="A22" s="5" t="s">
        <v>19</v>
      </c>
      <c r="B22" s="9">
        <v>105</v>
      </c>
      <c r="C22" s="9">
        <v>157.5</v>
      </c>
      <c r="D22" s="9">
        <v>252</v>
      </c>
      <c r="E22" s="9">
        <v>252</v>
      </c>
      <c r="F22" s="9">
        <v>273</v>
      </c>
      <c r="G22" s="9">
        <v>304.5</v>
      </c>
      <c r="H22" s="9">
        <v>472.5</v>
      </c>
      <c r="I22" s="9">
        <v>535.5</v>
      </c>
      <c r="J22" s="9">
        <v>420</v>
      </c>
      <c r="K22" s="9">
        <v>262.5</v>
      </c>
      <c r="L22" s="9">
        <v>168</v>
      </c>
      <c r="M22" s="9">
        <v>199.5</v>
      </c>
      <c r="N22" s="9">
        <f t="shared" si="0"/>
        <v>3402</v>
      </c>
      <c r="O22" s="10">
        <f t="shared" si="1"/>
        <v>9.257840659010216E-3</v>
      </c>
      <c r="P22" s="5"/>
    </row>
    <row r="23" spans="1:16" x14ac:dyDescent="0.4">
      <c r="A23" s="5" t="s">
        <v>20</v>
      </c>
      <c r="B23" s="9">
        <v>84</v>
      </c>
      <c r="C23" s="9">
        <v>294</v>
      </c>
      <c r="D23" s="9">
        <v>266</v>
      </c>
      <c r="E23" s="9">
        <v>546</v>
      </c>
      <c r="F23" s="9">
        <v>364</v>
      </c>
      <c r="G23" s="9">
        <v>644</v>
      </c>
      <c r="H23" s="9">
        <v>784</v>
      </c>
      <c r="I23" s="9">
        <v>714</v>
      </c>
      <c r="J23" s="9">
        <v>546</v>
      </c>
      <c r="K23" s="9">
        <v>532</v>
      </c>
      <c r="L23" s="9">
        <v>196</v>
      </c>
      <c r="M23" s="9">
        <v>140</v>
      </c>
      <c r="N23" s="9">
        <f t="shared" si="0"/>
        <v>5110</v>
      </c>
      <c r="O23" s="10">
        <f t="shared" si="1"/>
        <v>1.3905810043369254E-2</v>
      </c>
      <c r="P23" s="5"/>
    </row>
    <row r="24" spans="1:16" x14ac:dyDescent="0.4">
      <c r="A24" s="5" t="s">
        <v>21</v>
      </c>
      <c r="B24" s="9">
        <v>36</v>
      </c>
      <c r="C24" s="9">
        <v>108</v>
      </c>
      <c r="D24" s="9">
        <v>126</v>
      </c>
      <c r="E24" s="9">
        <v>144</v>
      </c>
      <c r="F24" s="9">
        <v>162</v>
      </c>
      <c r="G24" s="9">
        <v>288</v>
      </c>
      <c r="H24" s="9">
        <v>378</v>
      </c>
      <c r="I24" s="9">
        <v>234</v>
      </c>
      <c r="J24" s="9">
        <v>180</v>
      </c>
      <c r="K24" s="9">
        <v>90</v>
      </c>
      <c r="L24" s="9">
        <v>54</v>
      </c>
      <c r="M24" s="9">
        <v>162</v>
      </c>
      <c r="N24" s="9">
        <f t="shared" si="0"/>
        <v>1962</v>
      </c>
      <c r="O24" s="10">
        <f t="shared" si="1"/>
        <v>5.3391779462016583E-3</v>
      </c>
      <c r="P24" s="5"/>
    </row>
    <row r="25" spans="1:16" x14ac:dyDescent="0.4">
      <c r="A25" s="5" t="s">
        <v>22</v>
      </c>
      <c r="B25" s="9">
        <v>100</v>
      </c>
      <c r="C25" s="9">
        <v>125</v>
      </c>
      <c r="D25" s="9">
        <v>125</v>
      </c>
      <c r="E25" s="9">
        <v>175</v>
      </c>
      <c r="F25" s="9">
        <v>400</v>
      </c>
      <c r="G25" s="9">
        <v>225</v>
      </c>
      <c r="H25" s="9">
        <v>200</v>
      </c>
      <c r="I25" s="9">
        <v>275</v>
      </c>
      <c r="J25" s="9">
        <v>600</v>
      </c>
      <c r="K25" s="9">
        <v>875</v>
      </c>
      <c r="L25" s="9">
        <v>175</v>
      </c>
      <c r="M25" s="9">
        <v>50</v>
      </c>
      <c r="N25" s="9">
        <f t="shared" si="0"/>
        <v>3325</v>
      </c>
      <c r="O25" s="10">
        <f t="shared" si="1"/>
        <v>9.0483010556169797E-3</v>
      </c>
      <c r="P25" s="5"/>
    </row>
    <row r="26" spans="1:16" x14ac:dyDescent="0.4">
      <c r="A26" s="5" t="s">
        <v>23</v>
      </c>
      <c r="B26" s="9">
        <v>0</v>
      </c>
      <c r="C26" s="9">
        <v>31.5</v>
      </c>
      <c r="D26" s="9">
        <v>36.75</v>
      </c>
      <c r="E26" s="9">
        <v>47.25</v>
      </c>
      <c r="F26" s="9">
        <v>36.75</v>
      </c>
      <c r="G26" s="9">
        <v>131.25</v>
      </c>
      <c r="H26" s="9">
        <v>110.25</v>
      </c>
      <c r="I26" s="9">
        <v>84</v>
      </c>
      <c r="J26" s="9">
        <v>42</v>
      </c>
      <c r="K26" s="9">
        <v>21</v>
      </c>
      <c r="L26" s="9">
        <v>26.25</v>
      </c>
      <c r="M26" s="9">
        <v>0</v>
      </c>
      <c r="N26" s="9">
        <f t="shared" si="0"/>
        <v>567</v>
      </c>
      <c r="O26" s="10">
        <f t="shared" si="1"/>
        <v>1.5429734431683692E-3</v>
      </c>
      <c r="P26" s="5"/>
    </row>
    <row r="27" spans="1:16" x14ac:dyDescent="0.4">
      <c r="A27" s="5" t="s">
        <v>24</v>
      </c>
      <c r="B27" s="9">
        <v>0</v>
      </c>
      <c r="C27" s="9">
        <v>200</v>
      </c>
      <c r="D27" s="9">
        <v>50</v>
      </c>
      <c r="E27" s="9">
        <v>50</v>
      </c>
      <c r="F27" s="9">
        <v>100</v>
      </c>
      <c r="G27" s="9">
        <v>0</v>
      </c>
      <c r="H27" s="9">
        <v>350</v>
      </c>
      <c r="I27" s="9">
        <v>100</v>
      </c>
      <c r="J27" s="9">
        <v>25</v>
      </c>
      <c r="K27" s="9">
        <v>50</v>
      </c>
      <c r="L27" s="9">
        <v>125</v>
      </c>
      <c r="M27" s="9">
        <v>25</v>
      </c>
      <c r="N27" s="9">
        <f t="shared" si="0"/>
        <v>1075</v>
      </c>
      <c r="O27" s="10">
        <f t="shared" si="1"/>
        <v>2.92539056685361E-3</v>
      </c>
      <c r="P27" s="5"/>
    </row>
    <row r="28" spans="1:16" x14ac:dyDescent="0.4">
      <c r="A28" s="5" t="s">
        <v>25</v>
      </c>
      <c r="B28" s="9">
        <f t="shared" ref="B28:O28" si="2">SUM(B4:B27)</f>
        <v>20610.55</v>
      </c>
      <c r="C28" s="9">
        <f t="shared" si="2"/>
        <v>22929.5</v>
      </c>
      <c r="D28" s="9">
        <f t="shared" si="2"/>
        <v>26102.100000000002</v>
      </c>
      <c r="E28" s="9">
        <f t="shared" si="2"/>
        <v>29288.2</v>
      </c>
      <c r="F28" s="9">
        <f t="shared" si="2"/>
        <v>35299.9</v>
      </c>
      <c r="G28" s="9">
        <f t="shared" si="2"/>
        <v>36040.199999999997</v>
      </c>
      <c r="H28" s="9">
        <f t="shared" si="2"/>
        <v>43481.3</v>
      </c>
      <c r="I28" s="9">
        <f t="shared" si="2"/>
        <v>42257</v>
      </c>
      <c r="J28" s="9">
        <f t="shared" si="2"/>
        <v>33924.1</v>
      </c>
      <c r="K28" s="9">
        <f>SUM(K4:K27)</f>
        <v>28726.149999999998</v>
      </c>
      <c r="L28" s="9">
        <f t="shared" si="2"/>
        <v>23818.799999999999</v>
      </c>
      <c r="M28" s="9">
        <f t="shared" si="2"/>
        <v>24994.5</v>
      </c>
      <c r="N28" s="9">
        <f t="shared" si="2"/>
        <v>367472.30000000005</v>
      </c>
      <c r="O28" s="10">
        <f t="shared" si="2"/>
        <v>0.99999999999999989</v>
      </c>
      <c r="P28" s="5"/>
    </row>
    <row r="29" spans="1:16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>
        <f>SUM(B28:M28)</f>
        <v>367472.3</v>
      </c>
      <c r="O29" s="5"/>
    </row>
    <row r="30" spans="1:16" x14ac:dyDescent="0.4">
      <c r="A30" s="12"/>
    </row>
  </sheetData>
  <phoneticPr fontId="0" type="noConversion"/>
  <pageMargins left="0.24" right="0.24" top="1" bottom="1" header="0.5" footer="0.5"/>
  <pageSetup scale="7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syncVertical="1" syncRef="K13" transitionEvaluation="1">
    <pageSetUpPr fitToPage="1"/>
  </sheetPr>
  <dimension ref="A1:P30"/>
  <sheetViews>
    <sheetView showGridLines="0" workbookViewId="0">
      <pane xSplit="1" ySplit="3" topLeftCell="K13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5" defaultRowHeight="15.6" x14ac:dyDescent="0.3"/>
  <cols>
    <col min="1" max="1" width="20.75" style="2" customWidth="1"/>
    <col min="2" max="2" width="10.4140625" style="2" customWidth="1"/>
    <col min="3" max="3" width="9.33203125" style="2" customWidth="1"/>
    <col min="4" max="5" width="9.25" style="2" customWidth="1"/>
    <col min="6" max="6" width="9.4140625" style="2" customWidth="1"/>
    <col min="7" max="8" width="9.25" style="2" customWidth="1"/>
    <col min="9" max="9" width="9.58203125" style="2" customWidth="1"/>
    <col min="10" max="10" width="9.4140625" style="2" customWidth="1"/>
    <col min="11" max="12" width="9.33203125" style="2" customWidth="1"/>
    <col min="13" max="13" width="9.6640625" style="2" customWidth="1"/>
    <col min="14" max="14" width="10.25" style="2" customWidth="1"/>
    <col min="15" max="15" width="8.08203125" style="2" customWidth="1"/>
    <col min="16" max="16384" width="9.75" style="2"/>
  </cols>
  <sheetData>
    <row r="1" spans="1:16" x14ac:dyDescent="0.3">
      <c r="A1" s="1" t="s">
        <v>0</v>
      </c>
    </row>
    <row r="3" spans="1:16" x14ac:dyDescent="0.3">
      <c r="A3" s="24"/>
      <c r="B3" s="25" t="s">
        <v>26</v>
      </c>
      <c r="C3" s="25" t="s">
        <v>27</v>
      </c>
      <c r="D3" s="25" t="s">
        <v>28</v>
      </c>
      <c r="E3" s="25" t="s">
        <v>29</v>
      </c>
      <c r="F3" s="25" t="s">
        <v>30</v>
      </c>
      <c r="G3" s="25" t="s">
        <v>31</v>
      </c>
      <c r="H3" s="26" t="s">
        <v>32</v>
      </c>
      <c r="I3" s="26" t="s">
        <v>33</v>
      </c>
      <c r="J3" s="26" t="s">
        <v>34</v>
      </c>
      <c r="K3" s="26" t="s">
        <v>35</v>
      </c>
      <c r="L3" s="26" t="s">
        <v>36</v>
      </c>
      <c r="M3" s="25" t="s">
        <v>37</v>
      </c>
      <c r="N3" s="25" t="s">
        <v>25</v>
      </c>
      <c r="O3" s="25" t="s">
        <v>38</v>
      </c>
      <c r="P3" s="24"/>
    </row>
    <row r="4" spans="1:16" x14ac:dyDescent="0.3">
      <c r="A4" s="24" t="s">
        <v>1</v>
      </c>
      <c r="B4" s="27">
        <v>1453.4</v>
      </c>
      <c r="C4" s="27">
        <v>1419.6</v>
      </c>
      <c r="D4" s="27">
        <v>1690</v>
      </c>
      <c r="E4" s="27">
        <v>1926.6</v>
      </c>
      <c r="F4" s="27">
        <v>2940.6</v>
      </c>
      <c r="G4" s="27">
        <v>1521</v>
      </c>
      <c r="H4" s="27">
        <v>2095.6</v>
      </c>
      <c r="I4" s="27">
        <v>3177.2</v>
      </c>
      <c r="J4" s="27">
        <v>1723.8</v>
      </c>
      <c r="K4" s="27">
        <v>1892.8</v>
      </c>
      <c r="L4" s="27">
        <v>1318.2</v>
      </c>
      <c r="M4" s="27">
        <v>1081.5999999999999</v>
      </c>
      <c r="N4" s="27">
        <f t="shared" ref="N4:N27" si="0">SUM(B4:M4)</f>
        <v>22240.399999999998</v>
      </c>
      <c r="O4" s="28">
        <f t="shared" ref="O4:O27" si="1">N4/$N$28</f>
        <v>6.1396092269191405E-2</v>
      </c>
      <c r="P4" s="24"/>
    </row>
    <row r="5" spans="1:16" x14ac:dyDescent="0.3">
      <c r="A5" s="24" t="s">
        <v>2</v>
      </c>
      <c r="B5" s="29">
        <v>11331.25</v>
      </c>
      <c r="C5" s="29">
        <v>11053.75</v>
      </c>
      <c r="D5" s="29">
        <v>11238.75</v>
      </c>
      <c r="E5" s="29">
        <v>12487.5</v>
      </c>
      <c r="F5" s="29">
        <v>13227.5</v>
      </c>
      <c r="G5" s="29">
        <v>9481.25</v>
      </c>
      <c r="H5" s="29">
        <v>11470</v>
      </c>
      <c r="I5" s="29">
        <v>11608.75</v>
      </c>
      <c r="J5" s="29">
        <v>11053.75</v>
      </c>
      <c r="K5" s="29">
        <v>10591.25</v>
      </c>
      <c r="L5" s="29">
        <v>10915</v>
      </c>
      <c r="M5" s="29">
        <v>11470</v>
      </c>
      <c r="N5" s="27">
        <f t="shared" si="0"/>
        <v>135928.75</v>
      </c>
      <c r="O5" s="28">
        <f t="shared" si="1"/>
        <v>0.37524028691191941</v>
      </c>
      <c r="P5" s="24"/>
    </row>
    <row r="6" spans="1:16" x14ac:dyDescent="0.3">
      <c r="A6" s="24" t="s">
        <v>3</v>
      </c>
      <c r="B6" s="27">
        <v>1687.5</v>
      </c>
      <c r="C6" s="27">
        <v>1762.5</v>
      </c>
      <c r="D6" s="27">
        <v>2006.25</v>
      </c>
      <c r="E6" s="27">
        <v>2268.75</v>
      </c>
      <c r="F6" s="27">
        <v>2362.5</v>
      </c>
      <c r="G6" s="27">
        <v>4125</v>
      </c>
      <c r="H6" s="27">
        <v>2887.5</v>
      </c>
      <c r="I6" s="27">
        <v>2943.75</v>
      </c>
      <c r="J6" s="27">
        <v>2193.75</v>
      </c>
      <c r="K6" s="27">
        <v>1950</v>
      </c>
      <c r="L6" s="27">
        <v>1837.5</v>
      </c>
      <c r="M6" s="27">
        <v>1837.5</v>
      </c>
      <c r="N6" s="27">
        <f t="shared" si="0"/>
        <v>27862.5</v>
      </c>
      <c r="O6" s="28">
        <f t="shared" si="1"/>
        <v>7.6916270429054592E-2</v>
      </c>
      <c r="P6" s="24"/>
    </row>
    <row r="7" spans="1:16" x14ac:dyDescent="0.3">
      <c r="A7" s="24" t="s">
        <v>4</v>
      </c>
      <c r="B7" s="27">
        <v>1077.5</v>
      </c>
      <c r="C7" s="27">
        <v>1257.5</v>
      </c>
      <c r="D7" s="27">
        <v>1443.75</v>
      </c>
      <c r="E7" s="27">
        <v>1945</v>
      </c>
      <c r="F7" s="27">
        <v>2658.75</v>
      </c>
      <c r="G7" s="27">
        <v>2836.25</v>
      </c>
      <c r="H7" s="27">
        <v>4245</v>
      </c>
      <c r="I7" s="27">
        <v>4795</v>
      </c>
      <c r="J7" s="27">
        <v>2383.75</v>
      </c>
      <c r="K7" s="27">
        <v>1728.75</v>
      </c>
      <c r="L7" s="27">
        <v>1921.25</v>
      </c>
      <c r="M7" s="27">
        <v>1565</v>
      </c>
      <c r="N7" s="27">
        <f t="shared" si="0"/>
        <v>27857.5</v>
      </c>
      <c r="O7" s="28">
        <f t="shared" si="1"/>
        <v>7.6902467599008997E-2</v>
      </c>
      <c r="P7" s="24"/>
    </row>
    <row r="8" spans="1:16" x14ac:dyDescent="0.3">
      <c r="A8" s="24" t="s">
        <v>5</v>
      </c>
      <c r="B8" s="27">
        <v>197.5</v>
      </c>
      <c r="C8" s="27">
        <v>211.5</v>
      </c>
      <c r="D8" s="27">
        <v>250</v>
      </c>
      <c r="E8" s="27">
        <v>349.5</v>
      </c>
      <c r="F8" s="27">
        <v>422</v>
      </c>
      <c r="G8" s="27">
        <v>451</v>
      </c>
      <c r="H8" s="27">
        <v>758</v>
      </c>
      <c r="I8" s="27">
        <v>799.5</v>
      </c>
      <c r="J8" s="27">
        <v>289.5</v>
      </c>
      <c r="K8" s="27">
        <v>217.5</v>
      </c>
      <c r="L8" s="27">
        <v>352</v>
      </c>
      <c r="M8" s="27">
        <v>286</v>
      </c>
      <c r="N8" s="27">
        <f t="shared" si="0"/>
        <v>4584</v>
      </c>
      <c r="O8" s="28">
        <f t="shared" si="1"/>
        <v>1.2654434585797623E-2</v>
      </c>
      <c r="P8" s="24"/>
    </row>
    <row r="9" spans="1:16" x14ac:dyDescent="0.3">
      <c r="A9" s="24" t="s">
        <v>6</v>
      </c>
      <c r="B9" s="27">
        <v>4142.25</v>
      </c>
      <c r="C9" s="27">
        <v>4830</v>
      </c>
      <c r="D9" s="27">
        <v>5486.25</v>
      </c>
      <c r="E9" s="27">
        <v>6426</v>
      </c>
      <c r="F9" s="27">
        <v>8442</v>
      </c>
      <c r="G9" s="27">
        <v>5391.75</v>
      </c>
      <c r="H9" s="27">
        <v>11765.25</v>
      </c>
      <c r="I9" s="27">
        <v>12846.75</v>
      </c>
      <c r="J9" s="27">
        <v>7743.7529999999997</v>
      </c>
      <c r="K9" s="27">
        <v>6011.25</v>
      </c>
      <c r="L9" s="27">
        <v>6195</v>
      </c>
      <c r="M9" s="27">
        <v>5696.25</v>
      </c>
      <c r="N9" s="27">
        <f t="shared" si="0"/>
        <v>84976.502999999997</v>
      </c>
      <c r="O9" s="28">
        <f t="shared" si="1"/>
        <v>0.23458324575552691</v>
      </c>
      <c r="P9" s="24"/>
    </row>
    <row r="10" spans="1:16" x14ac:dyDescent="0.3">
      <c r="A10" s="24" t="s">
        <v>7</v>
      </c>
      <c r="B10" s="27">
        <v>0</v>
      </c>
      <c r="C10" s="27">
        <v>0</v>
      </c>
      <c r="D10" s="27">
        <v>25</v>
      </c>
      <c r="E10" s="27">
        <v>25</v>
      </c>
      <c r="F10" s="27">
        <v>25</v>
      </c>
      <c r="G10" s="27">
        <v>25</v>
      </c>
      <c r="H10" s="27">
        <v>50</v>
      </c>
      <c r="I10" s="27">
        <v>0</v>
      </c>
      <c r="J10" s="27">
        <v>175</v>
      </c>
      <c r="K10" s="27">
        <v>0</v>
      </c>
      <c r="L10" s="27">
        <v>25</v>
      </c>
      <c r="M10" s="27">
        <v>25</v>
      </c>
      <c r="N10" s="27">
        <f t="shared" si="0"/>
        <v>375</v>
      </c>
      <c r="O10" s="28">
        <f t="shared" si="1"/>
        <v>1.0352122534193081E-3</v>
      </c>
      <c r="P10" s="24"/>
    </row>
    <row r="11" spans="1:16" x14ac:dyDescent="0.3">
      <c r="A11" s="24" t="s">
        <v>8</v>
      </c>
      <c r="B11" s="27">
        <v>659</v>
      </c>
      <c r="C11" s="27">
        <v>334</v>
      </c>
      <c r="D11" s="27">
        <v>244</v>
      </c>
      <c r="E11" s="27">
        <v>366</v>
      </c>
      <c r="F11" s="27">
        <v>576</v>
      </c>
      <c r="G11" s="27">
        <v>295</v>
      </c>
      <c r="H11" s="27">
        <v>119</v>
      </c>
      <c r="I11" s="27">
        <v>362</v>
      </c>
      <c r="J11" s="27">
        <v>1034</v>
      </c>
      <c r="K11" s="27">
        <v>712</v>
      </c>
      <c r="L11" s="27">
        <v>205</v>
      </c>
      <c r="M11" s="27">
        <v>370</v>
      </c>
      <c r="N11" s="27">
        <f t="shared" si="0"/>
        <v>5276</v>
      </c>
      <c r="O11" s="28">
        <f t="shared" si="1"/>
        <v>1.4564746264107385E-2</v>
      </c>
      <c r="P11" s="24"/>
    </row>
    <row r="12" spans="1:16" x14ac:dyDescent="0.3">
      <c r="A12" s="24" t="s">
        <v>9</v>
      </c>
      <c r="B12" s="27">
        <v>2</v>
      </c>
      <c r="C12" s="27">
        <v>8</v>
      </c>
      <c r="D12" s="27">
        <v>0</v>
      </c>
      <c r="E12" s="27">
        <v>12</v>
      </c>
      <c r="F12" s="27">
        <v>24</v>
      </c>
      <c r="G12" s="27">
        <v>24</v>
      </c>
      <c r="H12" s="27">
        <v>36</v>
      </c>
      <c r="I12" s="27">
        <v>62</v>
      </c>
      <c r="J12" s="27">
        <v>8</v>
      </c>
      <c r="K12" s="27">
        <v>12</v>
      </c>
      <c r="L12" s="27">
        <v>22</v>
      </c>
      <c r="M12" s="27">
        <v>6</v>
      </c>
      <c r="N12" s="27">
        <f t="shared" si="0"/>
        <v>216</v>
      </c>
      <c r="O12" s="28">
        <f t="shared" si="1"/>
        <v>5.9628225796952146E-4</v>
      </c>
      <c r="P12" s="24"/>
    </row>
    <row r="13" spans="1:16" x14ac:dyDescent="0.3">
      <c r="A13" s="24" t="s">
        <v>10</v>
      </c>
      <c r="B13" s="27">
        <f>99+10.8</f>
        <v>109.8</v>
      </c>
      <c r="C13" s="27">
        <f>104.5+11.4</f>
        <v>115.9</v>
      </c>
      <c r="D13" s="27">
        <f>110+12</f>
        <v>122</v>
      </c>
      <c r="E13" s="27">
        <f>99+10.8</f>
        <v>109.8</v>
      </c>
      <c r="F13" s="27">
        <v>128.1</v>
      </c>
      <c r="G13" s="27">
        <f>55+6</f>
        <v>61</v>
      </c>
      <c r="H13" s="27">
        <v>0</v>
      </c>
      <c r="I13" s="27">
        <v>0</v>
      </c>
      <c r="J13" s="27">
        <v>122</v>
      </c>
      <c r="K13" s="27">
        <v>134.19999999999999</v>
      </c>
      <c r="L13" s="27">
        <f>93.5+10.2</f>
        <v>103.7</v>
      </c>
      <c r="M13" s="27">
        <f>104.5+11.4</f>
        <v>115.9</v>
      </c>
      <c r="N13" s="27">
        <f t="shared" si="0"/>
        <v>1122.4000000000001</v>
      </c>
      <c r="O13" s="28">
        <f t="shared" si="1"/>
        <v>3.0984592886342172E-3</v>
      </c>
      <c r="P13" s="24"/>
    </row>
    <row r="14" spans="1:16" x14ac:dyDescent="0.3">
      <c r="A14" s="24" t="s">
        <v>11</v>
      </c>
      <c r="B14" s="27">
        <v>10</v>
      </c>
      <c r="C14" s="27">
        <v>19</v>
      </c>
      <c r="D14" s="27">
        <v>26.5</v>
      </c>
      <c r="E14" s="27">
        <v>32</v>
      </c>
      <c r="F14" s="27">
        <v>28.5</v>
      </c>
      <c r="G14" s="27">
        <v>39</v>
      </c>
      <c r="H14" s="27">
        <v>49</v>
      </c>
      <c r="I14" s="27">
        <v>131</v>
      </c>
      <c r="J14" s="27">
        <v>61</v>
      </c>
      <c r="K14" s="27">
        <v>43.5</v>
      </c>
      <c r="L14" s="27">
        <v>35.5</v>
      </c>
      <c r="M14" s="27">
        <v>15</v>
      </c>
      <c r="N14" s="27">
        <f t="shared" si="0"/>
        <v>490</v>
      </c>
      <c r="O14" s="28">
        <f t="shared" si="1"/>
        <v>1.3526773444678959E-3</v>
      </c>
      <c r="P14" s="24"/>
    </row>
    <row r="15" spans="1:16" x14ac:dyDescent="0.3">
      <c r="A15" s="24" t="s">
        <v>12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28">
        <f t="shared" si="1"/>
        <v>0</v>
      </c>
      <c r="P15" s="24"/>
    </row>
    <row r="16" spans="1:16" x14ac:dyDescent="0.3">
      <c r="A16" s="24" t="s">
        <v>13</v>
      </c>
      <c r="B16" s="27">
        <v>0</v>
      </c>
      <c r="C16" s="27">
        <v>0</v>
      </c>
      <c r="D16" s="27">
        <v>0</v>
      </c>
      <c r="E16" s="27">
        <v>0</v>
      </c>
      <c r="F16" s="27">
        <v>2001</v>
      </c>
      <c r="G16" s="27">
        <v>1275</v>
      </c>
      <c r="H16" s="27">
        <v>2699</v>
      </c>
      <c r="I16" s="27">
        <v>2844</v>
      </c>
      <c r="J16" s="27">
        <v>1821</v>
      </c>
      <c r="K16" s="27">
        <v>0</v>
      </c>
      <c r="L16" s="27">
        <v>0</v>
      </c>
      <c r="M16" s="27">
        <v>0</v>
      </c>
      <c r="N16" s="27">
        <f t="shared" si="0"/>
        <v>10640</v>
      </c>
      <c r="O16" s="28">
        <f t="shared" si="1"/>
        <v>2.937242233701717E-2</v>
      </c>
      <c r="P16" s="24"/>
    </row>
    <row r="17" spans="1:16" x14ac:dyDescent="0.3">
      <c r="A17" s="24" t="s">
        <v>14</v>
      </c>
      <c r="B17" s="27">
        <v>131.25</v>
      </c>
      <c r="C17" s="27">
        <v>106.25</v>
      </c>
      <c r="D17" s="27">
        <v>118.75</v>
      </c>
      <c r="E17" s="27">
        <v>118.75</v>
      </c>
      <c r="F17" s="27">
        <v>162.5</v>
      </c>
      <c r="G17" s="27">
        <v>231.25</v>
      </c>
      <c r="H17" s="27">
        <v>375</v>
      </c>
      <c r="I17" s="27">
        <v>262.5</v>
      </c>
      <c r="J17" s="27">
        <v>112.5</v>
      </c>
      <c r="K17" s="27">
        <v>118.75</v>
      </c>
      <c r="L17" s="27">
        <v>156.25</v>
      </c>
      <c r="M17" s="27">
        <v>125</v>
      </c>
      <c r="N17" s="27">
        <f t="shared" si="0"/>
        <v>2018.75</v>
      </c>
      <c r="O17" s="28">
        <f t="shared" si="1"/>
        <v>5.5728926309072755E-3</v>
      </c>
      <c r="P17" s="24"/>
    </row>
    <row r="18" spans="1:16" x14ac:dyDescent="0.3">
      <c r="A18" s="24" t="s">
        <v>15</v>
      </c>
      <c r="B18" s="27">
        <v>49</v>
      </c>
      <c r="C18" s="27">
        <v>14</v>
      </c>
      <c r="D18" s="27">
        <v>21</v>
      </c>
      <c r="E18" s="27">
        <v>45.5</v>
      </c>
      <c r="F18" s="27">
        <v>52.5</v>
      </c>
      <c r="G18" s="27">
        <v>45.5</v>
      </c>
      <c r="H18" s="27">
        <v>45.5</v>
      </c>
      <c r="I18" s="27">
        <v>66.5</v>
      </c>
      <c r="J18" s="27">
        <v>52.5</v>
      </c>
      <c r="K18" s="27">
        <v>66.5</v>
      </c>
      <c r="L18" s="27">
        <v>24.5</v>
      </c>
      <c r="M18" s="27">
        <v>21</v>
      </c>
      <c r="N18" s="27">
        <f t="shared" si="0"/>
        <v>504</v>
      </c>
      <c r="O18" s="28">
        <f t="shared" si="1"/>
        <v>1.39132526859555E-3</v>
      </c>
      <c r="P18" s="24"/>
    </row>
    <row r="19" spans="1:16" x14ac:dyDescent="0.3">
      <c r="A19" s="24" t="s">
        <v>16</v>
      </c>
      <c r="B19" s="27">
        <v>52.5</v>
      </c>
      <c r="C19" s="27">
        <v>94.5</v>
      </c>
      <c r="D19" s="27">
        <v>89.25</v>
      </c>
      <c r="E19" s="27">
        <v>157.5</v>
      </c>
      <c r="F19" s="27">
        <v>294</v>
      </c>
      <c r="G19" s="27">
        <v>215.25</v>
      </c>
      <c r="H19" s="27">
        <v>309.75</v>
      </c>
      <c r="I19" s="27">
        <v>294</v>
      </c>
      <c r="J19" s="27">
        <v>178.5</v>
      </c>
      <c r="K19" s="27">
        <v>126</v>
      </c>
      <c r="L19" s="27">
        <v>99.75</v>
      </c>
      <c r="M19" s="27">
        <v>36.75</v>
      </c>
      <c r="N19" s="27">
        <f t="shared" si="0"/>
        <v>1947.75</v>
      </c>
      <c r="O19" s="28">
        <f t="shared" si="1"/>
        <v>5.3768924442598861E-3</v>
      </c>
      <c r="P19" s="24"/>
    </row>
    <row r="20" spans="1:16" x14ac:dyDescent="0.3">
      <c r="A20" s="24" t="s">
        <v>17</v>
      </c>
      <c r="B20" s="27">
        <v>1085</v>
      </c>
      <c r="C20" s="27">
        <v>973</v>
      </c>
      <c r="D20" s="27">
        <v>1344</v>
      </c>
      <c r="E20" s="27">
        <v>1512</v>
      </c>
      <c r="F20" s="27">
        <v>1414</v>
      </c>
      <c r="G20" s="27">
        <v>875</v>
      </c>
      <c r="H20" s="27">
        <v>1456</v>
      </c>
      <c r="I20" s="27">
        <v>1414</v>
      </c>
      <c r="J20" s="27">
        <v>1288</v>
      </c>
      <c r="K20" s="27">
        <v>1421</v>
      </c>
      <c r="L20" s="27">
        <v>1036</v>
      </c>
      <c r="M20" s="27">
        <v>819</v>
      </c>
      <c r="N20" s="27">
        <f t="shared" si="0"/>
        <v>14637</v>
      </c>
      <c r="O20" s="28">
        <f t="shared" si="1"/>
        <v>4.0406404675462436E-2</v>
      </c>
      <c r="P20" s="24"/>
    </row>
    <row r="21" spans="1:16" x14ac:dyDescent="0.3">
      <c r="A21" s="24" t="s">
        <v>18</v>
      </c>
      <c r="B21" s="27">
        <v>567</v>
      </c>
      <c r="C21" s="27">
        <v>657</v>
      </c>
      <c r="D21" s="27">
        <v>540</v>
      </c>
      <c r="E21" s="27">
        <v>693</v>
      </c>
      <c r="F21" s="27">
        <v>738</v>
      </c>
      <c r="G21" s="27">
        <v>531</v>
      </c>
      <c r="H21" s="27">
        <v>963</v>
      </c>
      <c r="I21" s="27">
        <v>504</v>
      </c>
      <c r="J21" s="27">
        <v>549</v>
      </c>
      <c r="K21" s="27">
        <v>522</v>
      </c>
      <c r="L21" s="27">
        <v>315</v>
      </c>
      <c r="M21" s="27">
        <v>684</v>
      </c>
      <c r="N21" s="27">
        <f t="shared" si="0"/>
        <v>7263</v>
      </c>
      <c r="O21" s="28">
        <f t="shared" si="1"/>
        <v>2.0049990924225158E-2</v>
      </c>
      <c r="P21" s="24"/>
    </row>
    <row r="22" spans="1:16" x14ac:dyDescent="0.3">
      <c r="A22" s="24" t="s">
        <v>19</v>
      </c>
      <c r="B22" s="27">
        <v>189</v>
      </c>
      <c r="C22" s="27">
        <v>168</v>
      </c>
      <c r="D22" s="27">
        <v>252</v>
      </c>
      <c r="E22" s="27">
        <v>199.5</v>
      </c>
      <c r="F22" s="27">
        <v>399</v>
      </c>
      <c r="G22" s="27">
        <v>262.5</v>
      </c>
      <c r="H22" s="27">
        <v>514.5</v>
      </c>
      <c r="I22" s="27">
        <v>535.5</v>
      </c>
      <c r="J22" s="27">
        <v>315</v>
      </c>
      <c r="K22" s="27">
        <v>210</v>
      </c>
      <c r="L22" s="27">
        <v>126</v>
      </c>
      <c r="M22" s="27">
        <v>168</v>
      </c>
      <c r="N22" s="27">
        <f t="shared" si="0"/>
        <v>3339</v>
      </c>
      <c r="O22" s="28">
        <f t="shared" si="1"/>
        <v>9.2175299044455188E-3</v>
      </c>
      <c r="P22" s="24"/>
    </row>
    <row r="23" spans="1:16" x14ac:dyDescent="0.3">
      <c r="A23" s="24" t="s">
        <v>20</v>
      </c>
      <c r="B23" s="27">
        <v>518</v>
      </c>
      <c r="C23" s="27">
        <v>210</v>
      </c>
      <c r="D23" s="27">
        <v>350</v>
      </c>
      <c r="E23" s="27">
        <v>420</v>
      </c>
      <c r="F23" s="27">
        <v>756</v>
      </c>
      <c r="G23" s="27">
        <v>308</v>
      </c>
      <c r="H23" s="27">
        <v>924</v>
      </c>
      <c r="I23" s="27">
        <v>672</v>
      </c>
      <c r="J23" s="27">
        <v>504</v>
      </c>
      <c r="K23" s="27">
        <v>378</v>
      </c>
      <c r="L23" s="27">
        <v>252</v>
      </c>
      <c r="M23" s="27">
        <v>238</v>
      </c>
      <c r="N23" s="27">
        <f t="shared" si="0"/>
        <v>5530</v>
      </c>
      <c r="O23" s="28">
        <f t="shared" si="1"/>
        <v>1.5265930030423397E-2</v>
      </c>
      <c r="P23" s="24"/>
    </row>
    <row r="24" spans="1:16" x14ac:dyDescent="0.3">
      <c r="A24" s="24" t="s">
        <v>21</v>
      </c>
      <c r="B24" s="27">
        <v>180</v>
      </c>
      <c r="C24" s="27">
        <v>126</v>
      </c>
      <c r="D24" s="27">
        <v>90</v>
      </c>
      <c r="E24" s="27">
        <v>72</v>
      </c>
      <c r="F24" s="27">
        <v>198</v>
      </c>
      <c r="G24" s="27">
        <v>90</v>
      </c>
      <c r="H24" s="27">
        <v>144</v>
      </c>
      <c r="I24" s="27">
        <v>252</v>
      </c>
      <c r="J24" s="27">
        <v>72</v>
      </c>
      <c r="K24" s="27">
        <v>108</v>
      </c>
      <c r="L24" s="27">
        <v>54</v>
      </c>
      <c r="M24" s="27">
        <v>108</v>
      </c>
      <c r="N24" s="27">
        <f t="shared" si="0"/>
        <v>1494</v>
      </c>
      <c r="O24" s="28">
        <f t="shared" si="1"/>
        <v>4.1242856176225235E-3</v>
      </c>
      <c r="P24" s="24"/>
    </row>
    <row r="25" spans="1:16" x14ac:dyDescent="0.3">
      <c r="A25" s="24" t="s">
        <v>22</v>
      </c>
      <c r="B25" s="27">
        <v>150</v>
      </c>
      <c r="C25" s="27">
        <v>125</v>
      </c>
      <c r="D25" s="27">
        <v>175</v>
      </c>
      <c r="E25" s="27">
        <v>400</v>
      </c>
      <c r="F25" s="27">
        <v>175</v>
      </c>
      <c r="G25" s="27">
        <v>275</v>
      </c>
      <c r="H25" s="27">
        <v>450</v>
      </c>
      <c r="I25" s="27">
        <v>475</v>
      </c>
      <c r="J25" s="27">
        <v>600</v>
      </c>
      <c r="K25" s="27">
        <v>250</v>
      </c>
      <c r="L25" s="27">
        <v>300</v>
      </c>
      <c r="M25" s="27">
        <v>125</v>
      </c>
      <c r="N25" s="27">
        <f t="shared" si="0"/>
        <v>3500</v>
      </c>
      <c r="O25" s="28">
        <f t="shared" si="1"/>
        <v>9.661981031913543E-3</v>
      </c>
      <c r="P25" s="24"/>
    </row>
    <row r="26" spans="1:16" x14ac:dyDescent="0.3">
      <c r="A26" s="24" t="s">
        <v>23</v>
      </c>
      <c r="B26" s="27">
        <v>10.5</v>
      </c>
      <c r="C26" s="27">
        <v>5.25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26.25</v>
      </c>
      <c r="K26" s="27">
        <v>0</v>
      </c>
      <c r="L26" s="27">
        <v>0</v>
      </c>
      <c r="M26" s="27">
        <v>0</v>
      </c>
      <c r="N26" s="27">
        <f t="shared" si="0"/>
        <v>42</v>
      </c>
      <c r="O26" s="28">
        <f t="shared" si="1"/>
        <v>1.159437723829625E-4</v>
      </c>
      <c r="P26" s="24"/>
    </row>
    <row r="27" spans="1:16" x14ac:dyDescent="0.3">
      <c r="A27" s="24" t="s">
        <v>24</v>
      </c>
      <c r="B27" s="27">
        <v>25</v>
      </c>
      <c r="C27" s="27">
        <v>50</v>
      </c>
      <c r="D27" s="27">
        <v>50</v>
      </c>
      <c r="E27" s="27">
        <v>50</v>
      </c>
      <c r="F27" s="27">
        <v>50</v>
      </c>
      <c r="G27" s="27">
        <v>0</v>
      </c>
      <c r="H27" s="27">
        <v>0</v>
      </c>
      <c r="I27" s="27">
        <v>175</v>
      </c>
      <c r="J27" s="27">
        <v>0</v>
      </c>
      <c r="K27" s="27">
        <v>0</v>
      </c>
      <c r="L27" s="27">
        <v>0</v>
      </c>
      <c r="M27" s="27">
        <v>0</v>
      </c>
      <c r="N27" s="27">
        <f t="shared" si="0"/>
        <v>400</v>
      </c>
      <c r="O27" s="28">
        <f t="shared" si="1"/>
        <v>1.1042264036472619E-3</v>
      </c>
      <c r="P27" s="24"/>
    </row>
    <row r="28" spans="1:16" x14ac:dyDescent="0.3">
      <c r="A28" s="24" t="s">
        <v>25</v>
      </c>
      <c r="B28" s="27">
        <f t="shared" ref="B28:O28" si="2">SUM(B4:B27)</f>
        <v>23627.45</v>
      </c>
      <c r="C28" s="27">
        <f t="shared" si="2"/>
        <v>23540.75</v>
      </c>
      <c r="D28" s="27">
        <f t="shared" si="2"/>
        <v>25562.5</v>
      </c>
      <c r="E28" s="27">
        <f t="shared" si="2"/>
        <v>29616.399999999998</v>
      </c>
      <c r="F28" s="27">
        <f t="shared" si="2"/>
        <v>37074.949999999997</v>
      </c>
      <c r="G28" s="27">
        <f t="shared" si="2"/>
        <v>28358.75</v>
      </c>
      <c r="H28" s="27">
        <f t="shared" si="2"/>
        <v>41356.1</v>
      </c>
      <c r="I28" s="27">
        <f t="shared" si="2"/>
        <v>44220.45</v>
      </c>
      <c r="J28" s="27">
        <f t="shared" si="2"/>
        <v>32307.053</v>
      </c>
      <c r="K28" s="27">
        <f t="shared" si="2"/>
        <v>26493.5</v>
      </c>
      <c r="L28" s="27">
        <f t="shared" si="2"/>
        <v>25293.65</v>
      </c>
      <c r="M28" s="27">
        <f t="shared" si="2"/>
        <v>24793</v>
      </c>
      <c r="N28" s="27">
        <f t="shared" si="2"/>
        <v>362244.55300000001</v>
      </c>
      <c r="O28" s="28">
        <f t="shared" si="2"/>
        <v>0.99999999999999989</v>
      </c>
      <c r="P28" s="24"/>
    </row>
    <row r="29" spans="1:16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7">
        <f>SUM(B28:M28)</f>
        <v>362244.55300000001</v>
      </c>
      <c r="O29" s="24"/>
    </row>
    <row r="30" spans="1:16" x14ac:dyDescent="0.3">
      <c r="A30" s="1"/>
    </row>
  </sheetData>
  <phoneticPr fontId="0" type="noConversion"/>
  <printOptions verticalCentered="1"/>
  <pageMargins left="0.26" right="0.26" top="1" bottom="1" header="0.5" footer="0.25"/>
  <pageSetup scale="73" orientation="landscape" r:id="rId1"/>
  <headerFooter alignWithMargins="0">
    <oddFooter>&amp;L&amp;F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33"/>
  <sheetViews>
    <sheetView workbookViewId="0">
      <pane xSplit="1" ySplit="3" topLeftCell="G13" activePane="bottomRight" state="frozen"/>
      <selection pane="topRight" activeCell="B1" sqref="B1"/>
      <selection pane="bottomLeft" activeCell="A4" sqref="A4"/>
      <selection pane="bottomRight" activeCell="B1" sqref="B1:M65536"/>
    </sheetView>
  </sheetViews>
  <sheetFormatPr defaultRowHeight="15" x14ac:dyDescent="0.25"/>
  <cols>
    <col min="1" max="1" width="16.33203125" customWidth="1"/>
    <col min="2" max="13" width="8" customWidth="1"/>
    <col min="14" max="14" width="9.08203125" customWidth="1"/>
  </cols>
  <sheetData>
    <row r="1" spans="1:15" x14ac:dyDescent="0.25">
      <c r="A1" s="38" t="s">
        <v>103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x14ac:dyDescent="0.25">
      <c r="A3" s="31"/>
      <c r="B3" s="32" t="s">
        <v>26</v>
      </c>
      <c r="C3" s="32" t="s">
        <v>27</v>
      </c>
      <c r="D3" s="32" t="s">
        <v>28</v>
      </c>
      <c r="E3" s="32" t="s">
        <v>29</v>
      </c>
      <c r="F3" s="32" t="s">
        <v>30</v>
      </c>
      <c r="G3" s="32" t="s">
        <v>31</v>
      </c>
      <c r="H3" s="33" t="s">
        <v>32</v>
      </c>
      <c r="I3" s="33" t="s">
        <v>33</v>
      </c>
      <c r="J3" s="33" t="s">
        <v>34</v>
      </c>
      <c r="K3" s="33" t="s">
        <v>35</v>
      </c>
      <c r="L3" s="33" t="s">
        <v>36</v>
      </c>
      <c r="M3" s="32" t="s">
        <v>37</v>
      </c>
      <c r="N3" s="32" t="s">
        <v>25</v>
      </c>
      <c r="O3" s="34" t="s">
        <v>38</v>
      </c>
    </row>
    <row r="4" spans="1:15" x14ac:dyDescent="0.25">
      <c r="A4" s="31" t="s">
        <v>1</v>
      </c>
      <c r="B4" s="35">
        <v>1284.4000000000001</v>
      </c>
      <c r="C4" s="35">
        <v>1216.8</v>
      </c>
      <c r="D4" s="35">
        <v>2129.4</v>
      </c>
      <c r="E4" s="35">
        <v>2061.8000000000002</v>
      </c>
      <c r="F4" s="35">
        <v>2028</v>
      </c>
      <c r="G4" s="35">
        <v>2061.8000000000002</v>
      </c>
      <c r="H4" s="35">
        <v>1859</v>
      </c>
      <c r="I4" s="35">
        <v>3042</v>
      </c>
      <c r="J4" s="35">
        <v>1554.8</v>
      </c>
      <c r="K4" s="35">
        <v>1554.8</v>
      </c>
      <c r="L4" s="35">
        <v>1318.2</v>
      </c>
      <c r="M4" s="35">
        <v>946.4</v>
      </c>
      <c r="N4" s="35">
        <f t="shared" ref="N4:N27" si="0">SUM(B4:M4)</f>
        <v>21057.4</v>
      </c>
      <c r="O4" s="36">
        <f t="shared" ref="O4:O27" si="1">N4/$N$28</f>
        <v>5.9833496858637696E-2</v>
      </c>
    </row>
    <row r="5" spans="1:15" x14ac:dyDescent="0.25">
      <c r="A5" s="31" t="s">
        <v>2</v>
      </c>
      <c r="B5" s="37">
        <v>9157.5</v>
      </c>
      <c r="C5" s="37">
        <v>10082.5</v>
      </c>
      <c r="D5" s="37">
        <v>11840</v>
      </c>
      <c r="E5" s="37">
        <v>11701.25</v>
      </c>
      <c r="F5" s="37">
        <v>12857.5</v>
      </c>
      <c r="G5" s="37">
        <v>12487.5</v>
      </c>
      <c r="H5" s="37">
        <v>10961.25</v>
      </c>
      <c r="I5" s="37">
        <v>11655</v>
      </c>
      <c r="J5" s="37">
        <v>10822.5</v>
      </c>
      <c r="K5" s="37">
        <v>10822.5</v>
      </c>
      <c r="L5" s="37">
        <v>10591.25</v>
      </c>
      <c r="M5" s="37">
        <v>10313.75</v>
      </c>
      <c r="N5" s="35">
        <f t="shared" si="0"/>
        <v>133292.5</v>
      </c>
      <c r="O5" s="36">
        <f t="shared" si="1"/>
        <v>0.37874364261637072</v>
      </c>
    </row>
    <row r="6" spans="1:15" x14ac:dyDescent="0.25">
      <c r="A6" s="31" t="s">
        <v>3</v>
      </c>
      <c r="B6" s="35">
        <v>2212.5</v>
      </c>
      <c r="C6" s="35">
        <v>1875</v>
      </c>
      <c r="D6" s="35">
        <v>2175</v>
      </c>
      <c r="E6" s="35">
        <v>1912.5</v>
      </c>
      <c r="F6" s="35">
        <v>2756.25</v>
      </c>
      <c r="G6" s="35">
        <v>2831.25</v>
      </c>
      <c r="H6" s="35">
        <v>3468.75</v>
      </c>
      <c r="I6" s="35">
        <v>2756.25</v>
      </c>
      <c r="J6" s="35">
        <v>2137.5</v>
      </c>
      <c r="K6" s="35">
        <v>1725</v>
      </c>
      <c r="L6" s="35">
        <v>2100</v>
      </c>
      <c r="M6" s="35">
        <v>1500</v>
      </c>
      <c r="N6" s="35">
        <f t="shared" si="0"/>
        <v>27450</v>
      </c>
      <c r="O6" s="36">
        <f t="shared" si="1"/>
        <v>7.7997734229753188E-2</v>
      </c>
    </row>
    <row r="7" spans="1:15" x14ac:dyDescent="0.25">
      <c r="A7" s="31" t="s">
        <v>4</v>
      </c>
      <c r="B7" s="35">
        <v>1208.75</v>
      </c>
      <c r="C7" s="35">
        <v>1291.25</v>
      </c>
      <c r="D7" s="35">
        <v>1668.75</v>
      </c>
      <c r="E7" s="35">
        <v>1750</v>
      </c>
      <c r="F7" s="35">
        <v>2156.25</v>
      </c>
      <c r="G7" s="35">
        <v>2373.75</v>
      </c>
      <c r="H7" s="35">
        <v>4381.25</v>
      </c>
      <c r="I7" s="35">
        <v>4498.75</v>
      </c>
      <c r="J7" s="35">
        <v>2520</v>
      </c>
      <c r="K7" s="35">
        <v>1572.5</v>
      </c>
      <c r="L7" s="35">
        <v>1816.25</v>
      </c>
      <c r="M7" s="35">
        <v>1030</v>
      </c>
      <c r="N7" s="35">
        <f t="shared" si="0"/>
        <v>26267.5</v>
      </c>
      <c r="O7" s="36">
        <f t="shared" si="1"/>
        <v>7.4637722545721014E-2</v>
      </c>
    </row>
    <row r="8" spans="1:15" x14ac:dyDescent="0.25">
      <c r="A8" s="31" t="s">
        <v>5</v>
      </c>
      <c r="B8" s="35">
        <v>136</v>
      </c>
      <c r="C8" s="35">
        <v>202</v>
      </c>
      <c r="D8" s="35">
        <v>274</v>
      </c>
      <c r="E8" s="35">
        <v>336.5</v>
      </c>
      <c r="F8" s="35">
        <v>331.5</v>
      </c>
      <c r="G8" s="35">
        <v>470.5</v>
      </c>
      <c r="H8" s="35">
        <v>785</v>
      </c>
      <c r="I8" s="35">
        <v>889.5</v>
      </c>
      <c r="J8" s="35">
        <v>363.5</v>
      </c>
      <c r="K8" s="35">
        <v>210</v>
      </c>
      <c r="L8" s="35">
        <v>257.5</v>
      </c>
      <c r="M8" s="35">
        <v>167.5</v>
      </c>
      <c r="N8" s="35">
        <f t="shared" si="0"/>
        <v>4423.5</v>
      </c>
      <c r="O8" s="36">
        <f t="shared" si="1"/>
        <v>1.2569143073417603E-2</v>
      </c>
    </row>
    <row r="9" spans="1:15" x14ac:dyDescent="0.25">
      <c r="A9" s="31" t="s">
        <v>6</v>
      </c>
      <c r="B9" s="35">
        <v>3244.5</v>
      </c>
      <c r="C9" s="35">
        <v>4677.75</v>
      </c>
      <c r="D9" s="35">
        <v>5848.5</v>
      </c>
      <c r="E9" s="35">
        <v>6326.25</v>
      </c>
      <c r="F9" s="35">
        <v>7486.5</v>
      </c>
      <c r="G9" s="35">
        <v>7959</v>
      </c>
      <c r="H9" s="35">
        <v>11418.75</v>
      </c>
      <c r="I9" s="35">
        <v>13088.25</v>
      </c>
      <c r="J9" s="35">
        <v>7523.25</v>
      </c>
      <c r="K9" s="35">
        <v>5901</v>
      </c>
      <c r="L9" s="35">
        <v>6336.75</v>
      </c>
      <c r="M9" s="35">
        <v>3837.75</v>
      </c>
      <c r="N9" s="35">
        <f t="shared" si="0"/>
        <v>83648.25</v>
      </c>
      <c r="O9" s="36">
        <f t="shared" si="1"/>
        <v>0.23768211192291264</v>
      </c>
    </row>
    <row r="10" spans="1:15" x14ac:dyDescent="0.25">
      <c r="A10" s="31" t="s">
        <v>7</v>
      </c>
      <c r="B10" s="35">
        <v>100</v>
      </c>
      <c r="C10" s="35">
        <v>25</v>
      </c>
      <c r="D10" s="35">
        <v>25</v>
      </c>
      <c r="E10" s="35">
        <v>25</v>
      </c>
      <c r="F10" s="35">
        <v>175</v>
      </c>
      <c r="G10" s="35">
        <v>125</v>
      </c>
      <c r="H10" s="35">
        <v>0</v>
      </c>
      <c r="I10" s="35">
        <v>0</v>
      </c>
      <c r="J10" s="35">
        <v>150</v>
      </c>
      <c r="K10" s="35">
        <v>150</v>
      </c>
      <c r="L10" s="35">
        <v>75</v>
      </c>
      <c r="M10" s="35">
        <v>0</v>
      </c>
      <c r="N10" s="35">
        <f t="shared" si="0"/>
        <v>850</v>
      </c>
      <c r="O10" s="36">
        <f t="shared" si="1"/>
        <v>2.4152303859850711E-3</v>
      </c>
    </row>
    <row r="11" spans="1:15" x14ac:dyDescent="0.25">
      <c r="A11" s="31" t="s">
        <v>8</v>
      </c>
      <c r="B11" s="35">
        <v>473</v>
      </c>
      <c r="C11" s="35">
        <v>348</v>
      </c>
      <c r="D11" s="35">
        <v>280</v>
      </c>
      <c r="E11" s="35">
        <v>205</v>
      </c>
      <c r="F11" s="35">
        <v>1251</v>
      </c>
      <c r="G11" s="35">
        <v>401</v>
      </c>
      <c r="H11" s="35">
        <v>882</v>
      </c>
      <c r="I11" s="35">
        <v>451</v>
      </c>
      <c r="J11" s="35">
        <v>608</v>
      </c>
      <c r="K11" s="35">
        <v>509</v>
      </c>
      <c r="L11" s="35">
        <v>666</v>
      </c>
      <c r="M11" s="35">
        <v>981</v>
      </c>
      <c r="N11" s="35">
        <f t="shared" si="0"/>
        <v>7055</v>
      </c>
      <c r="O11" s="36">
        <f t="shared" si="1"/>
        <v>2.0046412203676093E-2</v>
      </c>
    </row>
    <row r="12" spans="1:15" x14ac:dyDescent="0.25">
      <c r="A12" s="31" t="s">
        <v>9</v>
      </c>
      <c r="B12" s="35">
        <v>10</v>
      </c>
      <c r="C12" s="35">
        <v>6</v>
      </c>
      <c r="D12" s="35">
        <v>18</v>
      </c>
      <c r="E12" s="35">
        <v>12</v>
      </c>
      <c r="F12" s="35">
        <v>26</v>
      </c>
      <c r="G12" s="35">
        <v>50</v>
      </c>
      <c r="H12" s="35">
        <v>36</v>
      </c>
      <c r="I12" s="35">
        <v>80</v>
      </c>
      <c r="J12" s="35">
        <v>32</v>
      </c>
      <c r="K12" s="35">
        <v>4</v>
      </c>
      <c r="L12" s="35">
        <v>0</v>
      </c>
      <c r="M12" s="35">
        <v>8</v>
      </c>
      <c r="N12" s="35">
        <f t="shared" si="0"/>
        <v>282</v>
      </c>
      <c r="O12" s="36">
        <f t="shared" si="1"/>
        <v>8.0128819864445889E-4</v>
      </c>
    </row>
    <row r="13" spans="1:15" x14ac:dyDescent="0.25">
      <c r="A13" s="31" t="s">
        <v>10</v>
      </c>
      <c r="B13" s="35">
        <v>122</v>
      </c>
      <c r="C13" s="35">
        <v>122</v>
      </c>
      <c r="D13" s="35">
        <v>128.1</v>
      </c>
      <c r="E13" s="35">
        <v>103.7</v>
      </c>
      <c r="F13" s="35">
        <v>134.19999999999999</v>
      </c>
      <c r="G13" s="35">
        <v>0</v>
      </c>
      <c r="H13" s="35">
        <v>0</v>
      </c>
      <c r="I13" s="35">
        <v>0</v>
      </c>
      <c r="J13" s="35">
        <v>115.9</v>
      </c>
      <c r="K13" s="35">
        <v>134.19999999999999</v>
      </c>
      <c r="L13" s="35">
        <v>109.8</v>
      </c>
      <c r="M13" s="35">
        <v>91.5</v>
      </c>
      <c r="N13" s="35">
        <f t="shared" si="0"/>
        <v>1061.3999999999999</v>
      </c>
      <c r="O13" s="36">
        <f t="shared" si="1"/>
        <v>3.0159123902171229E-3</v>
      </c>
    </row>
    <row r="14" spans="1:15" x14ac:dyDescent="0.25">
      <c r="A14" s="31" t="s">
        <v>11</v>
      </c>
      <c r="B14" s="35">
        <v>13</v>
      </c>
      <c r="C14" s="35">
        <v>30.5</v>
      </c>
      <c r="D14" s="35">
        <v>15.5</v>
      </c>
      <c r="E14" s="35">
        <v>34.5</v>
      </c>
      <c r="F14" s="35">
        <v>31.5</v>
      </c>
      <c r="G14" s="35">
        <v>40.5</v>
      </c>
      <c r="H14" s="35">
        <v>29.25</v>
      </c>
      <c r="I14" s="35">
        <v>66</v>
      </c>
      <c r="J14" s="35">
        <v>59</v>
      </c>
      <c r="K14" s="35">
        <v>43.5</v>
      </c>
      <c r="L14" s="35">
        <v>24</v>
      </c>
      <c r="M14" s="35">
        <v>5.5</v>
      </c>
      <c r="N14" s="35">
        <f t="shared" si="0"/>
        <v>392.75</v>
      </c>
      <c r="O14" s="36">
        <f t="shared" si="1"/>
        <v>1.1159785107007492E-3</v>
      </c>
    </row>
    <row r="15" spans="1:15" x14ac:dyDescent="0.25">
      <c r="A15" s="31" t="s">
        <v>12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f t="shared" si="0"/>
        <v>0</v>
      </c>
      <c r="O15" s="36">
        <f t="shared" si="1"/>
        <v>0</v>
      </c>
    </row>
    <row r="16" spans="1:15" x14ac:dyDescent="0.25">
      <c r="A16" s="31" t="s">
        <v>13</v>
      </c>
      <c r="B16" s="35">
        <v>0</v>
      </c>
      <c r="C16" s="35">
        <v>0</v>
      </c>
      <c r="D16" s="35">
        <v>0</v>
      </c>
      <c r="E16" s="35">
        <v>0</v>
      </c>
      <c r="F16" s="35">
        <v>1733</v>
      </c>
      <c r="G16" s="35">
        <v>1781</v>
      </c>
      <c r="H16" s="35">
        <v>2518</v>
      </c>
      <c r="I16" s="35">
        <v>2859</v>
      </c>
      <c r="J16" s="35">
        <v>1795</v>
      </c>
      <c r="K16" s="35">
        <v>0</v>
      </c>
      <c r="L16" s="35">
        <v>0</v>
      </c>
      <c r="M16" s="35">
        <v>0</v>
      </c>
      <c r="N16" s="35">
        <f t="shared" si="0"/>
        <v>10686</v>
      </c>
      <c r="O16" s="36">
        <f t="shared" si="1"/>
        <v>3.036370812310173E-2</v>
      </c>
    </row>
    <row r="17" spans="1:15" x14ac:dyDescent="0.25">
      <c r="A17" s="31" t="s">
        <v>14</v>
      </c>
      <c r="B17" s="35">
        <v>106.25</v>
      </c>
      <c r="C17" s="35">
        <v>106.25</v>
      </c>
      <c r="D17" s="35">
        <v>87.5</v>
      </c>
      <c r="E17" s="35">
        <v>212.5</v>
      </c>
      <c r="F17" s="35">
        <v>131.25</v>
      </c>
      <c r="G17" s="35">
        <v>325</v>
      </c>
      <c r="H17" s="35">
        <v>306.25</v>
      </c>
      <c r="I17" s="35">
        <v>256.25</v>
      </c>
      <c r="J17" s="35">
        <v>143.75</v>
      </c>
      <c r="K17" s="35">
        <v>112.5</v>
      </c>
      <c r="L17" s="35">
        <v>106.25</v>
      </c>
      <c r="M17" s="35">
        <v>125</v>
      </c>
      <c r="N17" s="35">
        <f t="shared" si="0"/>
        <v>2018.75</v>
      </c>
      <c r="O17" s="36">
        <f t="shared" si="1"/>
        <v>5.7361721667145444E-3</v>
      </c>
    </row>
    <row r="18" spans="1:15" x14ac:dyDescent="0.25">
      <c r="A18" s="31" t="s">
        <v>15</v>
      </c>
      <c r="B18" s="35">
        <v>28</v>
      </c>
      <c r="C18" s="35">
        <v>24.5</v>
      </c>
      <c r="D18" s="35">
        <v>31.5</v>
      </c>
      <c r="E18" s="35">
        <v>35</v>
      </c>
      <c r="F18" s="35">
        <v>56</v>
      </c>
      <c r="G18" s="35">
        <v>45.5</v>
      </c>
      <c r="H18" s="35">
        <v>59.5</v>
      </c>
      <c r="I18" s="35">
        <v>28</v>
      </c>
      <c r="J18" s="35">
        <v>28</v>
      </c>
      <c r="K18" s="35">
        <v>28</v>
      </c>
      <c r="L18" s="35">
        <v>35</v>
      </c>
      <c r="M18" s="35">
        <v>7</v>
      </c>
      <c r="N18" s="35">
        <f t="shared" si="0"/>
        <v>406</v>
      </c>
      <c r="O18" s="36">
        <f t="shared" si="1"/>
        <v>1.1536276902469869E-3</v>
      </c>
    </row>
    <row r="19" spans="1:15" x14ac:dyDescent="0.25">
      <c r="A19" s="31" t="s">
        <v>16</v>
      </c>
      <c r="B19" s="35">
        <v>73.5</v>
      </c>
      <c r="C19" s="35">
        <v>94.5</v>
      </c>
      <c r="D19" s="35">
        <v>120.75</v>
      </c>
      <c r="E19" s="35">
        <v>105</v>
      </c>
      <c r="F19" s="35">
        <v>110.25</v>
      </c>
      <c r="G19" s="35">
        <v>215.25</v>
      </c>
      <c r="H19" s="35">
        <v>288.75</v>
      </c>
      <c r="I19" s="35">
        <v>210</v>
      </c>
      <c r="J19" s="35">
        <v>210</v>
      </c>
      <c r="K19" s="35">
        <v>105</v>
      </c>
      <c r="L19" s="35">
        <v>73.5</v>
      </c>
      <c r="M19" s="35">
        <v>42</v>
      </c>
      <c r="N19" s="35">
        <f t="shared" si="0"/>
        <v>1648.5</v>
      </c>
      <c r="O19" s="36">
        <f t="shared" si="1"/>
        <v>4.6841262250545768E-3</v>
      </c>
    </row>
    <row r="20" spans="1:15" x14ac:dyDescent="0.25">
      <c r="A20" s="31" t="s">
        <v>17</v>
      </c>
      <c r="B20" s="35">
        <v>378</v>
      </c>
      <c r="C20" s="35">
        <v>735</v>
      </c>
      <c r="D20" s="35">
        <v>644</v>
      </c>
      <c r="E20" s="35">
        <v>623</v>
      </c>
      <c r="F20" s="35">
        <v>679</v>
      </c>
      <c r="G20" s="35">
        <v>742</v>
      </c>
      <c r="H20" s="35">
        <v>861</v>
      </c>
      <c r="I20" s="35">
        <v>1099</v>
      </c>
      <c r="J20" s="35">
        <v>1414</v>
      </c>
      <c r="K20" s="35">
        <v>1197</v>
      </c>
      <c r="L20" s="35">
        <v>1232</v>
      </c>
      <c r="M20" s="35">
        <v>791</v>
      </c>
      <c r="N20" s="35">
        <f t="shared" si="0"/>
        <v>10395</v>
      </c>
      <c r="O20" s="36">
        <f t="shared" si="1"/>
        <v>2.9536846896840961E-2</v>
      </c>
    </row>
    <row r="21" spans="1:15" x14ac:dyDescent="0.25">
      <c r="A21" s="31" t="s">
        <v>18</v>
      </c>
      <c r="B21" s="35">
        <v>252</v>
      </c>
      <c r="C21" s="35">
        <v>324</v>
      </c>
      <c r="D21" s="35">
        <v>324</v>
      </c>
      <c r="E21" s="35">
        <v>387</v>
      </c>
      <c r="F21" s="35">
        <v>594</v>
      </c>
      <c r="G21" s="35">
        <v>567</v>
      </c>
      <c r="H21" s="35">
        <v>540</v>
      </c>
      <c r="I21" s="35">
        <v>567</v>
      </c>
      <c r="J21" s="35">
        <v>549</v>
      </c>
      <c r="K21" s="35">
        <v>369</v>
      </c>
      <c r="L21" s="35">
        <v>387</v>
      </c>
      <c r="M21" s="35">
        <v>468</v>
      </c>
      <c r="N21" s="35">
        <f t="shared" si="0"/>
        <v>5328</v>
      </c>
      <c r="O21" s="36">
        <f t="shared" si="1"/>
        <v>1.5139232348857012E-2</v>
      </c>
    </row>
    <row r="22" spans="1:15" x14ac:dyDescent="0.25">
      <c r="A22" s="31" t="s">
        <v>19</v>
      </c>
      <c r="B22" s="35">
        <v>105</v>
      </c>
      <c r="C22" s="35">
        <v>84</v>
      </c>
      <c r="D22" s="35">
        <v>220.5</v>
      </c>
      <c r="E22" s="35">
        <v>273</v>
      </c>
      <c r="F22" s="35">
        <v>493.5</v>
      </c>
      <c r="G22" s="35">
        <v>388.5</v>
      </c>
      <c r="H22" s="35">
        <v>724.5</v>
      </c>
      <c r="I22" s="35">
        <v>693</v>
      </c>
      <c r="J22" s="35">
        <v>336</v>
      </c>
      <c r="K22" s="35">
        <v>346.5</v>
      </c>
      <c r="L22" s="35">
        <v>168</v>
      </c>
      <c r="M22" s="35">
        <v>231</v>
      </c>
      <c r="N22" s="35">
        <f t="shared" si="0"/>
        <v>4063.5</v>
      </c>
      <c r="O22" s="36">
        <f t="shared" si="1"/>
        <v>1.1546221968765102E-2</v>
      </c>
    </row>
    <row r="23" spans="1:15" x14ac:dyDescent="0.25">
      <c r="A23" s="31" t="s">
        <v>20</v>
      </c>
      <c r="B23" s="35">
        <v>98</v>
      </c>
      <c r="C23" s="35">
        <v>210</v>
      </c>
      <c r="D23" s="35">
        <v>280</v>
      </c>
      <c r="E23" s="35">
        <v>420</v>
      </c>
      <c r="F23" s="35">
        <v>826</v>
      </c>
      <c r="G23" s="35">
        <v>420</v>
      </c>
      <c r="H23" s="35">
        <v>1120</v>
      </c>
      <c r="I23" s="35">
        <v>896</v>
      </c>
      <c r="J23" s="35">
        <v>504</v>
      </c>
      <c r="K23" s="35">
        <v>322</v>
      </c>
      <c r="L23" s="35">
        <v>252</v>
      </c>
      <c r="M23" s="35">
        <v>294</v>
      </c>
      <c r="N23" s="35">
        <f t="shared" si="0"/>
        <v>5642</v>
      </c>
      <c r="O23" s="36">
        <f t="shared" si="1"/>
        <v>1.6031446867915026E-2</v>
      </c>
    </row>
    <row r="24" spans="1:15" x14ac:dyDescent="0.25">
      <c r="A24" s="31" t="s">
        <v>21</v>
      </c>
      <c r="B24" s="35">
        <v>108</v>
      </c>
      <c r="C24" s="35">
        <v>144</v>
      </c>
      <c r="D24" s="35">
        <v>144</v>
      </c>
      <c r="E24" s="35">
        <v>270</v>
      </c>
      <c r="F24" s="35">
        <v>252</v>
      </c>
      <c r="G24" s="35">
        <v>234</v>
      </c>
      <c r="H24" s="35">
        <v>144</v>
      </c>
      <c r="I24" s="35">
        <v>108</v>
      </c>
      <c r="J24" s="35">
        <v>90</v>
      </c>
      <c r="K24" s="35">
        <v>36</v>
      </c>
      <c r="L24" s="35">
        <v>162</v>
      </c>
      <c r="M24" s="35">
        <v>72</v>
      </c>
      <c r="N24" s="35">
        <f t="shared" si="0"/>
        <v>1764</v>
      </c>
      <c r="O24" s="36">
        <f t="shared" si="1"/>
        <v>5.0123134127972539E-3</v>
      </c>
    </row>
    <row r="25" spans="1:15" x14ac:dyDescent="0.25">
      <c r="A25" s="31" t="s">
        <v>22</v>
      </c>
      <c r="B25" s="35">
        <v>200</v>
      </c>
      <c r="C25" s="35">
        <v>50</v>
      </c>
      <c r="D25" s="35">
        <v>375</v>
      </c>
      <c r="E25" s="35">
        <v>300</v>
      </c>
      <c r="F25" s="35">
        <v>400</v>
      </c>
      <c r="G25" s="35">
        <v>250</v>
      </c>
      <c r="H25" s="35">
        <v>125</v>
      </c>
      <c r="I25" s="35">
        <v>225</v>
      </c>
      <c r="J25" s="35">
        <v>350</v>
      </c>
      <c r="K25" s="35">
        <v>450</v>
      </c>
      <c r="L25" s="35">
        <v>425</v>
      </c>
      <c r="M25" s="35">
        <v>100</v>
      </c>
      <c r="N25" s="35">
        <f t="shared" si="0"/>
        <v>3250</v>
      </c>
      <c r="O25" s="36">
        <f t="shared" si="1"/>
        <v>9.2347044170017437E-3</v>
      </c>
    </row>
    <row r="26" spans="1:15" x14ac:dyDescent="0.25">
      <c r="A26" s="31" t="s">
        <v>23</v>
      </c>
      <c r="B26" s="35">
        <v>15.75</v>
      </c>
      <c r="C26" s="35">
        <v>21</v>
      </c>
      <c r="D26" s="35">
        <v>21</v>
      </c>
      <c r="E26" s="35">
        <v>63</v>
      </c>
      <c r="F26" s="35">
        <v>78.75</v>
      </c>
      <c r="G26" s="35">
        <v>63</v>
      </c>
      <c r="H26" s="35">
        <v>10.5</v>
      </c>
      <c r="I26" s="35">
        <v>68.25</v>
      </c>
      <c r="J26" s="35">
        <v>47.25</v>
      </c>
      <c r="K26" s="35">
        <v>94.5</v>
      </c>
      <c r="L26" s="35">
        <v>42</v>
      </c>
      <c r="M26" s="35">
        <v>26.25</v>
      </c>
      <c r="N26" s="35">
        <f t="shared" si="0"/>
        <v>551.25</v>
      </c>
      <c r="O26" s="36">
        <f t="shared" si="1"/>
        <v>1.5663479414991417E-3</v>
      </c>
    </row>
    <row r="27" spans="1:15" x14ac:dyDescent="0.25">
      <c r="A27" s="31" t="s">
        <v>24</v>
      </c>
      <c r="B27" s="35">
        <v>25</v>
      </c>
      <c r="C27" s="35">
        <v>75</v>
      </c>
      <c r="D27" s="35">
        <v>0</v>
      </c>
      <c r="E27" s="35">
        <v>25</v>
      </c>
      <c r="F27" s="35">
        <v>25</v>
      </c>
      <c r="G27" s="35">
        <v>25</v>
      </c>
      <c r="H27" s="35">
        <v>0</v>
      </c>
      <c r="I27" s="35">
        <v>25</v>
      </c>
      <c r="J27" s="35">
        <v>125</v>
      </c>
      <c r="K27" s="35">
        <v>50</v>
      </c>
      <c r="L27" s="35">
        <v>25</v>
      </c>
      <c r="M27" s="35">
        <v>0</v>
      </c>
      <c r="N27" s="35">
        <f t="shared" si="0"/>
        <v>400</v>
      </c>
      <c r="O27" s="36">
        <f t="shared" si="1"/>
        <v>1.1365790051694454E-3</v>
      </c>
    </row>
    <row r="28" spans="1:15" x14ac:dyDescent="0.25">
      <c r="A28" s="31" t="s">
        <v>25</v>
      </c>
      <c r="B28" s="35">
        <f t="shared" ref="B28:O28" si="2">SUM(B4:B27)</f>
        <v>19351.150000000001</v>
      </c>
      <c r="C28" s="35">
        <f t="shared" si="2"/>
        <v>21745.05</v>
      </c>
      <c r="D28" s="35">
        <f t="shared" si="2"/>
        <v>26650.5</v>
      </c>
      <c r="E28" s="35">
        <f t="shared" si="2"/>
        <v>27182</v>
      </c>
      <c r="F28" s="35">
        <f t="shared" si="2"/>
        <v>34612.449999999997</v>
      </c>
      <c r="G28" s="35">
        <f t="shared" si="2"/>
        <v>33856.550000000003</v>
      </c>
      <c r="H28" s="35">
        <f t="shared" si="2"/>
        <v>40518.75</v>
      </c>
      <c r="I28" s="35">
        <f t="shared" si="2"/>
        <v>43561.25</v>
      </c>
      <c r="J28" s="35">
        <f t="shared" si="2"/>
        <v>31478.45</v>
      </c>
      <c r="K28" s="35">
        <f t="shared" si="2"/>
        <v>25737</v>
      </c>
      <c r="L28" s="35">
        <f t="shared" si="2"/>
        <v>26202.5</v>
      </c>
      <c r="M28" s="35">
        <f t="shared" si="2"/>
        <v>21037.65</v>
      </c>
      <c r="N28" s="35">
        <f t="shared" si="2"/>
        <v>351933.30000000005</v>
      </c>
      <c r="O28" s="36">
        <f t="shared" si="2"/>
        <v>0.99999999999999989</v>
      </c>
    </row>
    <row r="29" spans="1:15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5">
        <f>SUM(B28:M28)</f>
        <v>351933.30000000005</v>
      </c>
      <c r="O29" s="31"/>
    </row>
    <row r="30" spans="1:15" ht="16.8" x14ac:dyDescent="0.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6.8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16.8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6.8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phoneticPr fontId="0" type="noConversion"/>
  <pageMargins left="0.26" right="0.26" top="1" bottom="1" header="0.5" footer="0.5"/>
  <pageSetup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"/>
  <sheetViews>
    <sheetView workbookViewId="0">
      <pane xSplit="1" ySplit="3" topLeftCell="J4" activePane="bottomRight" state="frozen"/>
      <selection pane="topRight" activeCell="B1" sqref="B1"/>
      <selection pane="bottomLeft" activeCell="A4" sqref="A4"/>
      <selection pane="bottomRight" activeCell="M52" sqref="M52"/>
    </sheetView>
  </sheetViews>
  <sheetFormatPr defaultColWidth="8.33203125" defaultRowHeight="15" x14ac:dyDescent="0.25"/>
  <cols>
    <col min="1" max="1" width="29.08203125" style="83" bestFit="1" customWidth="1"/>
    <col min="2" max="2" width="10.08203125" style="83" customWidth="1"/>
    <col min="3" max="3" width="9.75" style="83" customWidth="1"/>
    <col min="4" max="4" width="10.33203125" style="83" customWidth="1"/>
    <col min="5" max="5" width="9.9140625" style="83" customWidth="1"/>
    <col min="6" max="6" width="11" style="83" customWidth="1"/>
    <col min="7" max="8" width="10" style="83" customWidth="1"/>
    <col min="9" max="9" width="10.08203125" style="83" customWidth="1"/>
    <col min="10" max="10" width="10" style="83" customWidth="1"/>
    <col min="11" max="11" width="10.6640625" style="83" customWidth="1"/>
    <col min="12" max="12" width="10.08203125" style="83" customWidth="1"/>
    <col min="13" max="13" width="9.08203125" style="83" customWidth="1"/>
    <col min="14" max="14" width="11.9140625" style="83" customWidth="1"/>
    <col min="15" max="16384" width="8.33203125" style="83"/>
  </cols>
  <sheetData>
    <row r="1" spans="1:15" ht="15.6" x14ac:dyDescent="0.3">
      <c r="A1" s="99" t="s">
        <v>235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s="103" customFormat="1" ht="15.6" x14ac:dyDescent="0.3">
      <c r="A3" s="100"/>
      <c r="B3" s="101" t="s">
        <v>26</v>
      </c>
      <c r="C3" s="101" t="s">
        <v>27</v>
      </c>
      <c r="D3" s="101" t="s">
        <v>28</v>
      </c>
      <c r="E3" s="101" t="s">
        <v>29</v>
      </c>
      <c r="F3" s="101" t="s">
        <v>30</v>
      </c>
      <c r="G3" s="101" t="s">
        <v>31</v>
      </c>
      <c r="H3" s="102" t="s">
        <v>32</v>
      </c>
      <c r="I3" s="102" t="s">
        <v>33</v>
      </c>
      <c r="J3" s="102" t="s">
        <v>34</v>
      </c>
      <c r="K3" s="102" t="s">
        <v>35</v>
      </c>
      <c r="L3" s="102" t="s">
        <v>36</v>
      </c>
      <c r="M3" s="101" t="s">
        <v>37</v>
      </c>
      <c r="N3" s="101" t="s">
        <v>25</v>
      </c>
      <c r="O3" s="101" t="s">
        <v>38</v>
      </c>
    </row>
    <row r="4" spans="1:15" s="87" customFormat="1" x14ac:dyDescent="0.25">
      <c r="A4" s="85" t="s">
        <v>223</v>
      </c>
      <c r="B4" s="104">
        <v>1080</v>
      </c>
      <c r="C4" s="105">
        <v>480</v>
      </c>
      <c r="D4" s="105">
        <v>1080</v>
      </c>
      <c r="E4" s="105">
        <v>1800</v>
      </c>
      <c r="F4" s="105">
        <v>720</v>
      </c>
      <c r="G4" s="105">
        <v>780</v>
      </c>
      <c r="H4" s="105">
        <v>1080</v>
      </c>
      <c r="I4" s="105">
        <v>1440</v>
      </c>
      <c r="J4" s="105">
        <v>1920</v>
      </c>
      <c r="K4" s="105">
        <v>840</v>
      </c>
      <c r="L4" s="105">
        <v>1080</v>
      </c>
      <c r="M4" s="105">
        <v>2040</v>
      </c>
      <c r="N4" s="106">
        <f t="shared" ref="N4:N52" si="0">SUM(B4:M4)</f>
        <v>14340</v>
      </c>
      <c r="O4" s="86">
        <f>N4/$N$52</f>
        <v>1.0734219731364248E-2</v>
      </c>
    </row>
    <row r="5" spans="1:15" s="87" customFormat="1" x14ac:dyDescent="0.25">
      <c r="A5" s="85" t="s">
        <v>222</v>
      </c>
      <c r="B5" s="105">
        <v>600</v>
      </c>
      <c r="C5" s="105">
        <v>200</v>
      </c>
      <c r="D5" s="105">
        <v>700</v>
      </c>
      <c r="E5" s="105">
        <v>1000</v>
      </c>
      <c r="F5" s="105">
        <v>600</v>
      </c>
      <c r="G5" s="105">
        <v>1000</v>
      </c>
      <c r="H5" s="105">
        <v>1100</v>
      </c>
      <c r="I5" s="105">
        <v>1900</v>
      </c>
      <c r="J5" s="105">
        <v>600</v>
      </c>
      <c r="K5" s="105">
        <v>800</v>
      </c>
      <c r="L5" s="105">
        <v>600</v>
      </c>
      <c r="M5" s="105">
        <v>700</v>
      </c>
      <c r="N5" s="106">
        <f t="shared" si="0"/>
        <v>9800</v>
      </c>
      <c r="O5" s="86">
        <f t="shared" ref="O5:O52" si="1">N5/$N$52</f>
        <v>7.3357987006533922E-3</v>
      </c>
    </row>
    <row r="6" spans="1:15" s="87" customFormat="1" x14ac:dyDescent="0.25">
      <c r="A6" s="85" t="s">
        <v>214</v>
      </c>
      <c r="B6" s="105">
        <v>17248</v>
      </c>
      <c r="C6" s="105">
        <v>15876</v>
      </c>
      <c r="D6" s="105">
        <v>19796</v>
      </c>
      <c r="E6" s="105">
        <v>19600</v>
      </c>
      <c r="F6" s="105">
        <v>5096</v>
      </c>
      <c r="G6" s="105">
        <v>13524</v>
      </c>
      <c r="H6" s="105">
        <v>19600</v>
      </c>
      <c r="I6" s="105">
        <v>19992</v>
      </c>
      <c r="J6" s="105">
        <v>19012</v>
      </c>
      <c r="K6" s="105">
        <v>18620</v>
      </c>
      <c r="L6" s="105">
        <v>18816</v>
      </c>
      <c r="M6" s="105">
        <v>15288</v>
      </c>
      <c r="N6" s="106">
        <f t="shared" si="0"/>
        <v>202468</v>
      </c>
      <c r="O6" s="86">
        <f t="shared" si="1"/>
        <v>0.15155760115549907</v>
      </c>
    </row>
    <row r="7" spans="1:15" s="87" customFormat="1" x14ac:dyDescent="0.25">
      <c r="A7" s="85" t="s">
        <v>110</v>
      </c>
      <c r="B7" s="104">
        <v>0</v>
      </c>
      <c r="C7" s="104">
        <v>0</v>
      </c>
      <c r="D7" s="104">
        <v>117</v>
      </c>
      <c r="E7" s="104">
        <v>234</v>
      </c>
      <c r="F7" s="104">
        <v>0</v>
      </c>
      <c r="G7" s="104">
        <v>0</v>
      </c>
      <c r="H7" s="104">
        <v>351</v>
      </c>
      <c r="I7" s="104">
        <v>117</v>
      </c>
      <c r="J7" s="104">
        <v>0</v>
      </c>
      <c r="K7" s="104">
        <v>0</v>
      </c>
      <c r="L7" s="104">
        <v>234</v>
      </c>
      <c r="M7" s="104">
        <v>0</v>
      </c>
      <c r="N7" s="106">
        <f t="shared" si="0"/>
        <v>1053</v>
      </c>
      <c r="O7" s="86">
        <f t="shared" si="1"/>
        <v>7.8822408487632875E-4</v>
      </c>
    </row>
    <row r="8" spans="1:15" s="87" customFormat="1" x14ac:dyDescent="0.25">
      <c r="A8" s="85" t="s">
        <v>215</v>
      </c>
      <c r="B8" s="104">
        <v>13572</v>
      </c>
      <c r="C8" s="104">
        <v>14196</v>
      </c>
      <c r="D8" s="104">
        <v>20904</v>
      </c>
      <c r="E8" s="104">
        <v>18564</v>
      </c>
      <c r="F8" s="104">
        <v>6084</v>
      </c>
      <c r="G8" s="104">
        <v>16536</v>
      </c>
      <c r="H8" s="104">
        <v>19656</v>
      </c>
      <c r="I8" s="104">
        <v>18876</v>
      </c>
      <c r="J8" s="104">
        <v>15444</v>
      </c>
      <c r="K8" s="104">
        <v>19032</v>
      </c>
      <c r="L8" s="104">
        <v>15600</v>
      </c>
      <c r="M8" s="104">
        <v>18096</v>
      </c>
      <c r="N8" s="106">
        <f t="shared" si="0"/>
        <v>196560</v>
      </c>
      <c r="O8" s="86">
        <f t="shared" si="1"/>
        <v>0.14713516251024802</v>
      </c>
    </row>
    <row r="9" spans="1:15" s="87" customFormat="1" x14ac:dyDescent="0.25">
      <c r="A9" s="85" t="s">
        <v>216</v>
      </c>
      <c r="B9" s="104">
        <v>0</v>
      </c>
      <c r="C9" s="104">
        <v>0</v>
      </c>
      <c r="D9" s="104">
        <v>0</v>
      </c>
      <c r="E9" s="104">
        <v>0</v>
      </c>
      <c r="F9" s="104">
        <v>0</v>
      </c>
      <c r="G9" s="104">
        <v>0</v>
      </c>
      <c r="H9" s="104">
        <v>98</v>
      </c>
      <c r="I9" s="104">
        <v>0</v>
      </c>
      <c r="J9" s="104">
        <v>0</v>
      </c>
      <c r="K9" s="104">
        <v>196</v>
      </c>
      <c r="L9" s="104">
        <v>0</v>
      </c>
      <c r="M9" s="104">
        <v>0</v>
      </c>
      <c r="N9" s="106">
        <f t="shared" si="0"/>
        <v>294</v>
      </c>
      <c r="O9" s="86">
        <f t="shared" si="1"/>
        <v>2.2007396101960175E-4</v>
      </c>
    </row>
    <row r="10" spans="1:15" s="87" customFormat="1" x14ac:dyDescent="0.25">
      <c r="A10" s="85" t="s">
        <v>156</v>
      </c>
      <c r="B10" s="106">
        <v>0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f t="shared" si="0"/>
        <v>0</v>
      </c>
      <c r="O10" s="86">
        <f t="shared" si="1"/>
        <v>0</v>
      </c>
    </row>
    <row r="11" spans="1:15" s="87" customFormat="1" x14ac:dyDescent="0.25">
      <c r="A11" s="85" t="s">
        <v>184</v>
      </c>
      <c r="B11" s="106">
        <v>0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f t="shared" si="0"/>
        <v>0</v>
      </c>
      <c r="O11" s="86">
        <f t="shared" si="1"/>
        <v>0</v>
      </c>
    </row>
    <row r="12" spans="1:15" s="87" customFormat="1" x14ac:dyDescent="0.25">
      <c r="A12" s="85" t="s">
        <v>231</v>
      </c>
      <c r="B12" s="106">
        <v>4235</v>
      </c>
      <c r="C12" s="106">
        <v>3927</v>
      </c>
      <c r="D12" s="106">
        <v>6391</v>
      </c>
      <c r="E12" s="106">
        <v>5929</v>
      </c>
      <c r="F12" s="106">
        <v>12089</v>
      </c>
      <c r="G12" s="106">
        <v>9779</v>
      </c>
      <c r="H12" s="106">
        <v>8393</v>
      </c>
      <c r="I12" s="106">
        <v>8932</v>
      </c>
      <c r="J12" s="106">
        <v>7700</v>
      </c>
      <c r="K12" s="106">
        <v>5544</v>
      </c>
      <c r="L12" s="106">
        <v>5621</v>
      </c>
      <c r="M12" s="106">
        <v>6468</v>
      </c>
      <c r="N12" s="106">
        <f t="shared" si="0"/>
        <v>85008</v>
      </c>
      <c r="O12" s="86">
        <f t="shared" si="1"/>
        <v>6.3632813871953423E-2</v>
      </c>
    </row>
    <row r="13" spans="1:15" s="87" customFormat="1" x14ac:dyDescent="0.25">
      <c r="A13" s="85" t="s">
        <v>157</v>
      </c>
      <c r="B13" s="106">
        <v>0</v>
      </c>
      <c r="C13" s="106">
        <v>0</v>
      </c>
      <c r="D13" s="106">
        <v>0</v>
      </c>
      <c r="E13" s="106">
        <v>0</v>
      </c>
      <c r="F13" s="106">
        <v>5855</v>
      </c>
      <c r="G13" s="106">
        <v>14315</v>
      </c>
      <c r="H13" s="106">
        <v>22340</v>
      </c>
      <c r="I13" s="106">
        <v>19090</v>
      </c>
      <c r="J13" s="106">
        <v>11800</v>
      </c>
      <c r="K13" s="106">
        <v>0</v>
      </c>
      <c r="L13" s="106">
        <v>0</v>
      </c>
      <c r="M13" s="106">
        <v>0</v>
      </c>
      <c r="N13" s="106">
        <f t="shared" si="0"/>
        <v>73400</v>
      </c>
      <c r="O13" s="86">
        <f t="shared" si="1"/>
        <v>5.4943635166118263E-2</v>
      </c>
    </row>
    <row r="14" spans="1:15" s="87" customFormat="1" x14ac:dyDescent="0.25">
      <c r="A14" s="85" t="s">
        <v>180</v>
      </c>
      <c r="B14" s="106">
        <v>4728</v>
      </c>
      <c r="C14" s="106">
        <v>4600</v>
      </c>
      <c r="D14" s="106">
        <v>6684</v>
      </c>
      <c r="E14" s="106">
        <v>8704</v>
      </c>
      <c r="F14" s="106">
        <v>6208</v>
      </c>
      <c r="G14" s="106">
        <v>0</v>
      </c>
      <c r="H14" s="106">
        <v>0</v>
      </c>
      <c r="I14" s="106">
        <v>0</v>
      </c>
      <c r="J14" s="106">
        <v>0</v>
      </c>
      <c r="K14" s="106">
        <v>7322</v>
      </c>
      <c r="L14" s="106">
        <v>6084</v>
      </c>
      <c r="M14" s="106">
        <v>5636</v>
      </c>
      <c r="N14" s="106">
        <f t="shared" si="0"/>
        <v>49966</v>
      </c>
      <c r="O14" s="86">
        <f t="shared" si="1"/>
        <v>3.7402093660902795E-2</v>
      </c>
    </row>
    <row r="15" spans="1:15" s="87" customFormat="1" x14ac:dyDescent="0.25">
      <c r="A15" s="85" t="s">
        <v>113</v>
      </c>
      <c r="B15" s="106">
        <v>0</v>
      </c>
      <c r="C15" s="106">
        <v>15</v>
      </c>
      <c r="D15" s="106">
        <v>0</v>
      </c>
      <c r="E15" s="106">
        <v>0</v>
      </c>
      <c r="F15" s="106">
        <v>0</v>
      </c>
      <c r="G15" s="106">
        <v>28815</v>
      </c>
      <c r="H15" s="106">
        <v>51465</v>
      </c>
      <c r="I15" s="106">
        <v>47700</v>
      </c>
      <c r="J15" s="106">
        <v>37620</v>
      </c>
      <c r="K15" s="106">
        <v>0</v>
      </c>
      <c r="L15" s="106">
        <v>0</v>
      </c>
      <c r="M15" s="106">
        <v>0</v>
      </c>
      <c r="N15" s="106">
        <f t="shared" si="0"/>
        <v>165615</v>
      </c>
      <c r="O15" s="86">
        <f t="shared" si="1"/>
        <v>0.12397125528660322</v>
      </c>
    </row>
    <row r="16" spans="1:15" s="87" customFormat="1" x14ac:dyDescent="0.25">
      <c r="A16" s="85" t="s">
        <v>179</v>
      </c>
      <c r="B16" s="106">
        <v>22224</v>
      </c>
      <c r="C16" s="106">
        <v>19428</v>
      </c>
      <c r="D16" s="106">
        <v>25896</v>
      </c>
      <c r="E16" s="106">
        <v>30984</v>
      </c>
      <c r="F16" s="106">
        <v>13608</v>
      </c>
      <c r="G16" s="106">
        <v>0</v>
      </c>
      <c r="H16" s="106">
        <v>0</v>
      </c>
      <c r="I16" s="106">
        <v>0</v>
      </c>
      <c r="J16" s="106">
        <v>0</v>
      </c>
      <c r="K16" s="106">
        <v>27480</v>
      </c>
      <c r="L16" s="106">
        <v>24240</v>
      </c>
      <c r="M16" s="106">
        <v>22788</v>
      </c>
      <c r="N16" s="106">
        <f t="shared" si="0"/>
        <v>186648</v>
      </c>
      <c r="O16" s="86">
        <f t="shared" si="1"/>
        <v>0.13971552611015861</v>
      </c>
    </row>
    <row r="17" spans="1:15" s="87" customFormat="1" x14ac:dyDescent="0.25">
      <c r="A17" s="85" t="s">
        <v>114</v>
      </c>
      <c r="B17" s="106">
        <v>1000</v>
      </c>
      <c r="C17" s="106">
        <v>0</v>
      </c>
      <c r="D17" s="106">
        <v>0</v>
      </c>
      <c r="E17" s="106">
        <v>0</v>
      </c>
      <c r="F17" s="106">
        <v>120</v>
      </c>
      <c r="G17" s="106">
        <v>0.02</v>
      </c>
      <c r="H17" s="106">
        <v>500</v>
      </c>
      <c r="I17" s="106">
        <v>500</v>
      </c>
      <c r="J17" s="106">
        <v>0</v>
      </c>
      <c r="K17" s="106">
        <v>0</v>
      </c>
      <c r="L17" s="106">
        <v>0</v>
      </c>
      <c r="M17" s="106">
        <v>15</v>
      </c>
      <c r="N17" s="106">
        <f t="shared" si="0"/>
        <v>2135.02</v>
      </c>
      <c r="O17" s="86">
        <f t="shared" si="1"/>
        <v>1.5981711165172453E-3</v>
      </c>
    </row>
    <row r="18" spans="1:15" s="87" customFormat="1" x14ac:dyDescent="0.25">
      <c r="A18" s="85" t="s">
        <v>7</v>
      </c>
      <c r="B18" s="106">
        <v>1736</v>
      </c>
      <c r="C18" s="106">
        <v>0</v>
      </c>
      <c r="D18" s="106">
        <v>248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f t="shared" si="0"/>
        <v>1984</v>
      </c>
      <c r="O18" s="86">
        <f t="shared" si="1"/>
        <v>1.4851249614384009E-3</v>
      </c>
    </row>
    <row r="19" spans="1:15" s="87" customFormat="1" x14ac:dyDescent="0.25">
      <c r="A19" s="85" t="s">
        <v>158</v>
      </c>
      <c r="B19" s="106">
        <v>0</v>
      </c>
      <c r="C19" s="106">
        <v>0</v>
      </c>
      <c r="D19" s="106">
        <v>0</v>
      </c>
      <c r="E19" s="106">
        <v>0</v>
      </c>
      <c r="F19" s="106">
        <v>80</v>
      </c>
      <c r="G19" s="106">
        <v>90</v>
      </c>
      <c r="H19" s="106">
        <v>510</v>
      </c>
      <c r="I19" s="106">
        <v>190</v>
      </c>
      <c r="J19" s="106">
        <v>160</v>
      </c>
      <c r="K19" s="106">
        <v>0</v>
      </c>
      <c r="L19" s="106">
        <v>0</v>
      </c>
      <c r="M19" s="106">
        <v>0</v>
      </c>
      <c r="N19" s="106">
        <f t="shared" si="0"/>
        <v>1030</v>
      </c>
      <c r="O19" s="86">
        <f t="shared" si="1"/>
        <v>7.7100741445642793E-4</v>
      </c>
    </row>
    <row r="20" spans="1:15" s="87" customFormat="1" x14ac:dyDescent="0.25">
      <c r="A20" s="85" t="s">
        <v>185</v>
      </c>
      <c r="B20" s="106">
        <v>21</v>
      </c>
      <c r="C20" s="106">
        <v>14</v>
      </c>
      <c r="D20" s="106">
        <v>28</v>
      </c>
      <c r="E20" s="106">
        <v>42</v>
      </c>
      <c r="F20" s="106">
        <v>35</v>
      </c>
      <c r="G20" s="106">
        <v>0</v>
      </c>
      <c r="H20" s="106">
        <v>0</v>
      </c>
      <c r="I20" s="106">
        <v>0</v>
      </c>
      <c r="J20" s="106">
        <v>0</v>
      </c>
      <c r="K20" s="106">
        <v>77</v>
      </c>
      <c r="L20" s="106">
        <v>7</v>
      </c>
      <c r="M20" s="106">
        <v>14</v>
      </c>
      <c r="N20" s="106">
        <f t="shared" si="0"/>
        <v>238</v>
      </c>
      <c r="O20" s="86">
        <f t="shared" si="1"/>
        <v>1.7815511130158239E-4</v>
      </c>
    </row>
    <row r="21" spans="1:15" s="87" customFormat="1" x14ac:dyDescent="0.25">
      <c r="A21" s="85" t="s">
        <v>10</v>
      </c>
      <c r="B21" s="106">
        <v>60.5</v>
      </c>
      <c r="C21" s="106">
        <v>82.5</v>
      </c>
      <c r="D21" s="106">
        <v>99</v>
      </c>
      <c r="E21" s="106">
        <v>77</v>
      </c>
      <c r="F21" s="106">
        <v>88</v>
      </c>
      <c r="G21" s="106">
        <v>66</v>
      </c>
      <c r="H21" s="106">
        <v>0</v>
      </c>
      <c r="I21" s="106">
        <v>0</v>
      </c>
      <c r="J21" s="106">
        <v>93.5</v>
      </c>
      <c r="K21" s="106">
        <v>115.5</v>
      </c>
      <c r="L21" s="106">
        <v>99</v>
      </c>
      <c r="M21" s="106">
        <v>71.5</v>
      </c>
      <c r="N21" s="106">
        <f>SUM(B21:M21)</f>
        <v>852.5</v>
      </c>
      <c r="O21" s="86">
        <f t="shared" si="1"/>
        <v>6.3813963186806289E-4</v>
      </c>
    </row>
    <row r="22" spans="1:15" s="87" customFormat="1" x14ac:dyDescent="0.25">
      <c r="A22" s="85" t="s">
        <v>11</v>
      </c>
      <c r="B22" s="106">
        <v>80</v>
      </c>
      <c r="C22" s="106">
        <v>96</v>
      </c>
      <c r="D22" s="106">
        <v>48</v>
      </c>
      <c r="E22" s="106">
        <v>216</v>
      </c>
      <c r="F22" s="106">
        <v>24</v>
      </c>
      <c r="G22" s="106">
        <v>16</v>
      </c>
      <c r="H22" s="106">
        <v>16</v>
      </c>
      <c r="I22" s="106">
        <v>16</v>
      </c>
      <c r="J22" s="106">
        <v>72</v>
      </c>
      <c r="K22" s="106">
        <v>8</v>
      </c>
      <c r="L22" s="106">
        <v>16</v>
      </c>
      <c r="M22" s="106">
        <v>0</v>
      </c>
      <c r="N22" s="106">
        <f t="shared" si="0"/>
        <v>608</v>
      </c>
      <c r="O22" s="86">
        <f t="shared" si="1"/>
        <v>4.55118939795639E-4</v>
      </c>
    </row>
    <row r="23" spans="1:15" s="87" customFormat="1" x14ac:dyDescent="0.25">
      <c r="A23" s="85" t="s">
        <v>159</v>
      </c>
      <c r="B23" s="106">
        <v>0</v>
      </c>
      <c r="C23" s="106">
        <v>0</v>
      </c>
      <c r="D23" s="106">
        <v>0</v>
      </c>
      <c r="E23" s="106">
        <v>0</v>
      </c>
      <c r="F23" s="106">
        <v>1431</v>
      </c>
      <c r="G23" s="106">
        <v>6084</v>
      </c>
      <c r="H23" s="106">
        <v>11256</v>
      </c>
      <c r="I23" s="106">
        <v>10212</v>
      </c>
      <c r="J23" s="106">
        <v>8388</v>
      </c>
      <c r="K23" s="106">
        <v>0</v>
      </c>
      <c r="L23" s="106">
        <v>0</v>
      </c>
      <c r="M23" s="106">
        <v>0</v>
      </c>
      <c r="N23" s="106">
        <f>SUM(B23:M23)</f>
        <v>37371</v>
      </c>
      <c r="O23" s="86">
        <f t="shared" si="1"/>
        <v>2.7974095228787542E-2</v>
      </c>
    </row>
    <row r="24" spans="1:15" s="87" customFormat="1" x14ac:dyDescent="0.25">
      <c r="A24" s="85" t="s">
        <v>181</v>
      </c>
      <c r="B24" s="106">
        <v>4090</v>
      </c>
      <c r="C24" s="106">
        <v>3530</v>
      </c>
      <c r="D24" s="106">
        <v>5070</v>
      </c>
      <c r="E24" s="106">
        <v>6650</v>
      </c>
      <c r="F24" s="106">
        <v>3570</v>
      </c>
      <c r="G24" s="106">
        <v>0</v>
      </c>
      <c r="H24" s="106">
        <v>0</v>
      </c>
      <c r="I24" s="106">
        <v>0</v>
      </c>
      <c r="J24" s="106">
        <v>0</v>
      </c>
      <c r="K24" s="106">
        <v>6060</v>
      </c>
      <c r="L24" s="106">
        <v>5270</v>
      </c>
      <c r="M24" s="106">
        <v>4990</v>
      </c>
      <c r="N24" s="106">
        <f>SUM(B24:M24)</f>
        <v>39230</v>
      </c>
      <c r="O24" s="86">
        <f t="shared" si="1"/>
        <v>2.9365651329248222E-2</v>
      </c>
    </row>
    <row r="25" spans="1:15" s="87" customFormat="1" x14ac:dyDescent="0.25">
      <c r="A25" s="85" t="s">
        <v>211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4755</v>
      </c>
      <c r="H25" s="106">
        <v>7929</v>
      </c>
      <c r="I25" s="106">
        <v>7047</v>
      </c>
      <c r="J25" s="106">
        <v>3405</v>
      </c>
      <c r="K25" s="106">
        <v>0</v>
      </c>
      <c r="L25" s="106">
        <v>0</v>
      </c>
      <c r="M25" s="106">
        <v>0</v>
      </c>
      <c r="N25" s="106">
        <f>SUM(B25:M25)</f>
        <v>23136</v>
      </c>
      <c r="O25" s="86">
        <f t="shared" si="1"/>
        <v>1.7318473340644579E-2</v>
      </c>
    </row>
    <row r="26" spans="1:15" s="87" customFormat="1" x14ac:dyDescent="0.25">
      <c r="A26" s="85" t="s">
        <v>212</v>
      </c>
      <c r="B26" s="106">
        <v>998</v>
      </c>
      <c r="C26" s="106">
        <v>878</v>
      </c>
      <c r="D26" s="106">
        <v>1404</v>
      </c>
      <c r="E26" s="106">
        <v>2216</v>
      </c>
      <c r="F26" s="106">
        <v>1342</v>
      </c>
      <c r="G26" s="106">
        <v>0</v>
      </c>
      <c r="H26" s="106">
        <v>0</v>
      </c>
      <c r="I26" s="106">
        <v>0</v>
      </c>
      <c r="J26" s="106">
        <v>0</v>
      </c>
      <c r="K26" s="106">
        <v>1440</v>
      </c>
      <c r="L26" s="106">
        <v>1276</v>
      </c>
      <c r="M26" s="106">
        <v>1022</v>
      </c>
      <c r="N26" s="106">
        <f>SUM(B26:M26)</f>
        <v>10576</v>
      </c>
      <c r="O26" s="86">
        <f t="shared" si="1"/>
        <v>7.9166741896030887E-3</v>
      </c>
    </row>
    <row r="27" spans="1:15" s="87" customFormat="1" x14ac:dyDescent="0.25">
      <c r="A27" s="85" t="s">
        <v>186</v>
      </c>
      <c r="B27" s="106">
        <v>0</v>
      </c>
      <c r="C27" s="106">
        <v>0</v>
      </c>
      <c r="D27" s="106">
        <v>0</v>
      </c>
      <c r="E27" s="106">
        <v>0</v>
      </c>
      <c r="F27" s="106">
        <v>0</v>
      </c>
      <c r="G27" s="106">
        <v>45</v>
      </c>
      <c r="H27" s="106">
        <v>90</v>
      </c>
      <c r="I27" s="106">
        <v>63</v>
      </c>
      <c r="J27" s="106">
        <v>9</v>
      </c>
      <c r="K27" s="106">
        <v>0</v>
      </c>
      <c r="L27" s="106">
        <v>0</v>
      </c>
      <c r="M27" s="106">
        <v>0</v>
      </c>
      <c r="N27" s="106">
        <f t="shared" si="0"/>
        <v>207</v>
      </c>
      <c r="O27" s="86">
        <f t="shared" si="1"/>
        <v>1.5495003377910736E-4</v>
      </c>
    </row>
    <row r="28" spans="1:15" s="87" customFormat="1" x14ac:dyDescent="0.25">
      <c r="A28" s="85" t="s">
        <v>182</v>
      </c>
      <c r="B28" s="106">
        <v>0</v>
      </c>
      <c r="C28" s="106">
        <v>0</v>
      </c>
      <c r="D28" s="106">
        <v>0</v>
      </c>
      <c r="E28" s="106">
        <v>18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12</v>
      </c>
      <c r="L28" s="106">
        <v>0</v>
      </c>
      <c r="M28" s="106">
        <v>0</v>
      </c>
      <c r="N28" s="106">
        <f t="shared" si="0"/>
        <v>30</v>
      </c>
      <c r="O28" s="86">
        <f t="shared" si="1"/>
        <v>2.2456526634653241E-5</v>
      </c>
    </row>
    <row r="29" spans="1:15" s="87" customFormat="1" x14ac:dyDescent="0.25">
      <c r="A29" s="85" t="s">
        <v>234</v>
      </c>
      <c r="B29" s="106">
        <v>2576</v>
      </c>
      <c r="C29" s="106">
        <v>2070</v>
      </c>
      <c r="D29" s="106">
        <v>3404</v>
      </c>
      <c r="E29" s="106">
        <v>4370</v>
      </c>
      <c r="F29" s="106">
        <v>6762</v>
      </c>
      <c r="G29" s="106">
        <v>5704</v>
      </c>
      <c r="H29" s="106">
        <v>5336</v>
      </c>
      <c r="I29" s="106">
        <v>5428</v>
      </c>
      <c r="J29" s="106">
        <v>4370</v>
      </c>
      <c r="K29" s="106">
        <v>3266</v>
      </c>
      <c r="L29" s="106">
        <v>3174</v>
      </c>
      <c r="M29" s="106">
        <v>2806</v>
      </c>
      <c r="N29" s="106">
        <f>SUM(B29:M29)</f>
        <v>49266</v>
      </c>
      <c r="O29" s="86">
        <f t="shared" si="1"/>
        <v>3.6878108039427551E-2</v>
      </c>
    </row>
    <row r="30" spans="1:15" s="87" customFormat="1" x14ac:dyDescent="0.25">
      <c r="A30" s="85" t="s">
        <v>162</v>
      </c>
      <c r="B30" s="106">
        <v>0</v>
      </c>
      <c r="C30" s="106">
        <v>0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106">
        <v>0</v>
      </c>
      <c r="N30" s="106">
        <f t="shared" si="0"/>
        <v>0</v>
      </c>
      <c r="O30" s="86">
        <f t="shared" si="1"/>
        <v>0</v>
      </c>
    </row>
    <row r="31" spans="1:15" s="87" customFormat="1" x14ac:dyDescent="0.25">
      <c r="A31" s="85" t="s">
        <v>183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0</v>
      </c>
      <c r="N31" s="106">
        <f t="shared" si="0"/>
        <v>0</v>
      </c>
      <c r="O31" s="86">
        <f t="shared" si="1"/>
        <v>0</v>
      </c>
    </row>
    <row r="32" spans="1:15" s="87" customFormat="1" x14ac:dyDescent="0.25">
      <c r="A32" s="85" t="s">
        <v>196</v>
      </c>
      <c r="B32" s="106">
        <v>0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  <c r="N32" s="106">
        <f t="shared" si="0"/>
        <v>0</v>
      </c>
      <c r="O32" s="86">
        <f t="shared" si="1"/>
        <v>0</v>
      </c>
    </row>
    <row r="33" spans="1:15" s="87" customFormat="1" x14ac:dyDescent="0.25">
      <c r="A33" s="85" t="s">
        <v>163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2982</v>
      </c>
      <c r="H33" s="106">
        <v>6132</v>
      </c>
      <c r="I33" s="106">
        <v>4746</v>
      </c>
      <c r="J33" s="106">
        <v>4179</v>
      </c>
      <c r="K33" s="106">
        <v>0</v>
      </c>
      <c r="L33" s="106">
        <v>0</v>
      </c>
      <c r="M33" s="106">
        <v>0</v>
      </c>
      <c r="N33" s="106">
        <f t="shared" si="0"/>
        <v>18039</v>
      </c>
      <c r="O33" s="86">
        <f t="shared" si="1"/>
        <v>1.3503109465416994E-2</v>
      </c>
    </row>
    <row r="34" spans="1:15" s="87" customFormat="1" x14ac:dyDescent="0.25">
      <c r="A34" s="85" t="s">
        <v>187</v>
      </c>
      <c r="B34" s="106">
        <v>4063</v>
      </c>
      <c r="C34" s="106">
        <v>3978</v>
      </c>
      <c r="D34" s="106">
        <v>4845</v>
      </c>
      <c r="E34" s="106">
        <v>4692</v>
      </c>
      <c r="F34" s="106">
        <v>2499</v>
      </c>
      <c r="G34" s="106">
        <v>0</v>
      </c>
      <c r="H34" s="106">
        <v>0</v>
      </c>
      <c r="I34" s="106">
        <v>0</v>
      </c>
      <c r="J34" s="106">
        <v>0</v>
      </c>
      <c r="K34" s="106">
        <v>3978</v>
      </c>
      <c r="L34" s="106">
        <v>3519</v>
      </c>
      <c r="M34" s="106">
        <v>3723</v>
      </c>
      <c r="N34" s="106">
        <f t="shared" si="0"/>
        <v>31297</v>
      </c>
      <c r="O34" s="86">
        <f t="shared" si="1"/>
        <v>2.3427397136158084E-2</v>
      </c>
    </row>
    <row r="35" spans="1:15" s="87" customFormat="1" x14ac:dyDescent="0.25">
      <c r="A35" s="85" t="s">
        <v>164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1950</v>
      </c>
      <c r="H35" s="106">
        <v>2370</v>
      </c>
      <c r="I35" s="106">
        <v>2580</v>
      </c>
      <c r="J35" s="106">
        <v>3480</v>
      </c>
      <c r="K35" s="106">
        <v>0</v>
      </c>
      <c r="L35" s="106">
        <v>0</v>
      </c>
      <c r="M35" s="106">
        <v>0</v>
      </c>
      <c r="N35" s="106">
        <f t="shared" si="0"/>
        <v>10380</v>
      </c>
      <c r="O35" s="86">
        <f t="shared" si="1"/>
        <v>7.7699582155900211E-3</v>
      </c>
    </row>
    <row r="36" spans="1:15" s="87" customFormat="1" x14ac:dyDescent="0.25">
      <c r="A36" s="85" t="s">
        <v>188</v>
      </c>
      <c r="B36" s="106">
        <v>2500</v>
      </c>
      <c r="C36" s="106">
        <v>1200</v>
      </c>
      <c r="D36" s="106">
        <v>1925</v>
      </c>
      <c r="E36" s="106">
        <v>2450</v>
      </c>
      <c r="F36" s="106">
        <v>1800</v>
      </c>
      <c r="G36" s="106">
        <v>0</v>
      </c>
      <c r="H36" s="106">
        <v>0</v>
      </c>
      <c r="I36" s="106">
        <v>0</v>
      </c>
      <c r="J36" s="106">
        <v>0</v>
      </c>
      <c r="K36" s="106">
        <v>2450</v>
      </c>
      <c r="L36" s="106">
        <v>1425</v>
      </c>
      <c r="M36" s="106">
        <v>3250</v>
      </c>
      <c r="N36" s="106">
        <f t="shared" si="0"/>
        <v>17000</v>
      </c>
      <c r="O36" s="86">
        <f t="shared" si="1"/>
        <v>1.272536509297017E-2</v>
      </c>
    </row>
    <row r="37" spans="1:15" s="87" customFormat="1" x14ac:dyDescent="0.25">
      <c r="A37" s="85" t="s">
        <v>165</v>
      </c>
      <c r="B37" s="106">
        <v>0</v>
      </c>
      <c r="C37" s="106">
        <v>0</v>
      </c>
      <c r="D37" s="106">
        <v>0</v>
      </c>
      <c r="E37" s="106">
        <v>0</v>
      </c>
      <c r="F37" s="106">
        <v>0</v>
      </c>
      <c r="G37" s="106">
        <v>2379</v>
      </c>
      <c r="H37" s="106">
        <v>4329</v>
      </c>
      <c r="I37" s="106">
        <v>4095</v>
      </c>
      <c r="J37" s="106">
        <v>3627</v>
      </c>
      <c r="K37" s="106">
        <v>0</v>
      </c>
      <c r="L37" s="106">
        <v>0</v>
      </c>
      <c r="M37" s="106">
        <v>0</v>
      </c>
      <c r="N37" s="106">
        <f t="shared" si="0"/>
        <v>14430</v>
      </c>
      <c r="O37" s="86">
        <f t="shared" si="1"/>
        <v>1.0801589311268209E-2</v>
      </c>
    </row>
    <row r="38" spans="1:15" s="87" customFormat="1" x14ac:dyDescent="0.25">
      <c r="A38" s="85" t="s">
        <v>189</v>
      </c>
      <c r="B38" s="106">
        <v>1749</v>
      </c>
      <c r="C38" s="106">
        <v>2211</v>
      </c>
      <c r="D38" s="106">
        <v>2772</v>
      </c>
      <c r="E38" s="106">
        <v>2970</v>
      </c>
      <c r="F38" s="106">
        <v>1947</v>
      </c>
      <c r="G38" s="106">
        <v>0</v>
      </c>
      <c r="H38" s="106">
        <v>0</v>
      </c>
      <c r="I38" s="106">
        <v>0</v>
      </c>
      <c r="J38" s="106">
        <v>0</v>
      </c>
      <c r="K38" s="106">
        <v>3135</v>
      </c>
      <c r="L38" s="106">
        <v>2211</v>
      </c>
      <c r="M38" s="106">
        <v>1914</v>
      </c>
      <c r="N38" s="106">
        <f t="shared" si="0"/>
        <v>18909</v>
      </c>
      <c r="O38" s="86">
        <f t="shared" si="1"/>
        <v>1.4154348737821938E-2</v>
      </c>
    </row>
    <row r="39" spans="1:15" s="87" customFormat="1" x14ac:dyDescent="0.25">
      <c r="A39" s="85" t="s">
        <v>166</v>
      </c>
      <c r="B39" s="106">
        <v>0</v>
      </c>
      <c r="C39" s="106">
        <v>0</v>
      </c>
      <c r="D39" s="106">
        <v>0</v>
      </c>
      <c r="E39" s="106">
        <v>0</v>
      </c>
      <c r="F39" s="106">
        <v>0</v>
      </c>
      <c r="G39" s="106">
        <v>1989</v>
      </c>
      <c r="H39" s="106">
        <v>4131</v>
      </c>
      <c r="I39" s="106">
        <v>4539</v>
      </c>
      <c r="J39" s="106">
        <v>3876</v>
      </c>
      <c r="K39" s="106">
        <v>0</v>
      </c>
      <c r="L39" s="106">
        <v>0</v>
      </c>
      <c r="M39" s="106">
        <v>0</v>
      </c>
      <c r="N39" s="106">
        <f t="shared" si="0"/>
        <v>14535</v>
      </c>
      <c r="O39" s="86">
        <f t="shared" si="1"/>
        <v>1.0880187154489495E-2</v>
      </c>
    </row>
    <row r="40" spans="1:15" s="87" customFormat="1" x14ac:dyDescent="0.25">
      <c r="A40" s="85" t="s">
        <v>190</v>
      </c>
      <c r="B40" s="106">
        <v>1890</v>
      </c>
      <c r="C40" s="106">
        <v>1596</v>
      </c>
      <c r="D40" s="106">
        <v>2562</v>
      </c>
      <c r="E40" s="106">
        <v>3528</v>
      </c>
      <c r="F40" s="106">
        <v>1386</v>
      </c>
      <c r="G40" s="106">
        <v>0</v>
      </c>
      <c r="H40" s="106">
        <v>0</v>
      </c>
      <c r="I40" s="106">
        <v>0</v>
      </c>
      <c r="J40" s="106">
        <v>0</v>
      </c>
      <c r="K40" s="106">
        <v>3024</v>
      </c>
      <c r="L40" s="106">
        <v>2268</v>
      </c>
      <c r="M40" s="106">
        <v>1512</v>
      </c>
      <c r="N40" s="106">
        <f t="shared" si="0"/>
        <v>17766</v>
      </c>
      <c r="O40" s="86">
        <f t="shared" si="1"/>
        <v>1.329875507304165E-2</v>
      </c>
    </row>
    <row r="41" spans="1:15" s="87" customFormat="1" x14ac:dyDescent="0.25">
      <c r="A41" s="85" t="s">
        <v>167</v>
      </c>
      <c r="B41" s="106">
        <v>0</v>
      </c>
      <c r="C41" s="106">
        <v>0</v>
      </c>
      <c r="D41" s="106">
        <v>0</v>
      </c>
      <c r="E41" s="106">
        <v>0</v>
      </c>
      <c r="F41" s="106">
        <v>0</v>
      </c>
      <c r="G41" s="106">
        <v>1856</v>
      </c>
      <c r="H41" s="106">
        <v>3200</v>
      </c>
      <c r="I41" s="106">
        <v>2752</v>
      </c>
      <c r="J41" s="106">
        <v>2368</v>
      </c>
      <c r="K41" s="106">
        <v>0</v>
      </c>
      <c r="L41" s="106"/>
      <c r="M41" s="106">
        <v>0</v>
      </c>
      <c r="N41" s="106">
        <f t="shared" si="0"/>
        <v>10176</v>
      </c>
      <c r="O41" s="86">
        <f t="shared" si="1"/>
        <v>7.6172538344743794E-3</v>
      </c>
    </row>
    <row r="42" spans="1:15" s="87" customFormat="1" x14ac:dyDescent="0.25">
      <c r="A42" s="85" t="s">
        <v>191</v>
      </c>
      <c r="B42" s="106">
        <v>676</v>
      </c>
      <c r="C42" s="106">
        <v>364</v>
      </c>
      <c r="D42" s="106">
        <v>1144</v>
      </c>
      <c r="E42" s="106">
        <v>1508</v>
      </c>
      <c r="F42" s="106">
        <v>1248</v>
      </c>
      <c r="G42" s="106">
        <v>0</v>
      </c>
      <c r="H42" s="106">
        <v>0</v>
      </c>
      <c r="I42" s="106">
        <v>0</v>
      </c>
      <c r="J42" s="106">
        <v>0</v>
      </c>
      <c r="K42" s="106">
        <v>1300</v>
      </c>
      <c r="L42" s="106">
        <v>728</v>
      </c>
      <c r="M42" s="106">
        <v>572</v>
      </c>
      <c r="N42" s="106">
        <f t="shared" si="0"/>
        <v>7540</v>
      </c>
      <c r="O42" s="86">
        <f t="shared" si="1"/>
        <v>5.6440736941761813E-3</v>
      </c>
    </row>
    <row r="43" spans="1:15" s="87" customFormat="1" x14ac:dyDescent="0.25">
      <c r="A43" s="85" t="s">
        <v>168</v>
      </c>
      <c r="B43" s="106">
        <v>0</v>
      </c>
      <c r="C43" s="106">
        <v>0</v>
      </c>
      <c r="D43" s="106">
        <v>0</v>
      </c>
      <c r="E43" s="106">
        <v>0</v>
      </c>
      <c r="F43" s="106">
        <v>0</v>
      </c>
      <c r="G43" s="106">
        <v>1248</v>
      </c>
      <c r="H43" s="106">
        <v>1248</v>
      </c>
      <c r="I43" s="106">
        <v>1248</v>
      </c>
      <c r="J43" s="106">
        <v>1248</v>
      </c>
      <c r="K43" s="106">
        <v>0</v>
      </c>
      <c r="L43" s="106"/>
      <c r="M43" s="106">
        <v>0</v>
      </c>
      <c r="N43" s="106">
        <f t="shared" si="0"/>
        <v>4992</v>
      </c>
      <c r="O43" s="86">
        <f t="shared" si="1"/>
        <v>3.7367660320062994E-3</v>
      </c>
    </row>
    <row r="44" spans="1:15" s="87" customFormat="1" x14ac:dyDescent="0.25">
      <c r="A44" s="85" t="s">
        <v>192</v>
      </c>
      <c r="B44" s="106">
        <v>640</v>
      </c>
      <c r="C44" s="106">
        <v>512</v>
      </c>
      <c r="D44" s="106">
        <v>768</v>
      </c>
      <c r="E44" s="106">
        <v>640</v>
      </c>
      <c r="F44" s="106">
        <v>576</v>
      </c>
      <c r="G44" s="106">
        <v>0</v>
      </c>
      <c r="H44" s="106">
        <v>0</v>
      </c>
      <c r="I44" s="106">
        <v>0</v>
      </c>
      <c r="J44" s="106">
        <v>0</v>
      </c>
      <c r="K44" s="106">
        <v>576</v>
      </c>
      <c r="L44" s="106">
        <v>576</v>
      </c>
      <c r="M44" s="106">
        <v>896</v>
      </c>
      <c r="N44" s="106">
        <f t="shared" si="0"/>
        <v>5184</v>
      </c>
      <c r="O44" s="86">
        <f t="shared" si="1"/>
        <v>3.88048780246808E-3</v>
      </c>
    </row>
    <row r="45" spans="1:15" s="87" customFormat="1" x14ac:dyDescent="0.25">
      <c r="A45" s="85" t="s">
        <v>169</v>
      </c>
      <c r="B45" s="106">
        <v>0</v>
      </c>
      <c r="C45" s="106">
        <v>0</v>
      </c>
      <c r="D45" s="106">
        <v>0</v>
      </c>
      <c r="E45" s="106">
        <v>0</v>
      </c>
      <c r="F45" s="106">
        <v>0</v>
      </c>
      <c r="G45" s="106">
        <v>752</v>
      </c>
      <c r="H45" s="106">
        <v>376</v>
      </c>
      <c r="I45" s="106">
        <v>846</v>
      </c>
      <c r="J45" s="106">
        <v>564</v>
      </c>
      <c r="K45" s="106">
        <v>0</v>
      </c>
      <c r="L45" s="106">
        <v>0</v>
      </c>
      <c r="M45" s="106">
        <v>0</v>
      </c>
      <c r="N45" s="106">
        <f t="shared" si="0"/>
        <v>2538</v>
      </c>
      <c r="O45" s="86">
        <f t="shared" si="1"/>
        <v>1.8998221532916641E-3</v>
      </c>
    </row>
    <row r="46" spans="1:15" s="87" customFormat="1" x14ac:dyDescent="0.25">
      <c r="A46" s="85" t="s">
        <v>193</v>
      </c>
      <c r="B46" s="106">
        <v>154</v>
      </c>
      <c r="C46" s="106">
        <v>77</v>
      </c>
      <c r="D46" s="106">
        <v>462</v>
      </c>
      <c r="E46" s="106">
        <v>462</v>
      </c>
      <c r="F46" s="106">
        <v>154</v>
      </c>
      <c r="G46" s="106">
        <v>0</v>
      </c>
      <c r="H46" s="106">
        <v>0</v>
      </c>
      <c r="I46" s="106">
        <v>0</v>
      </c>
      <c r="J46" s="106">
        <v>0</v>
      </c>
      <c r="K46" s="106">
        <v>308</v>
      </c>
      <c r="L46" s="106">
        <v>462</v>
      </c>
      <c r="M46" s="106">
        <v>77</v>
      </c>
      <c r="N46" s="106">
        <f t="shared" si="0"/>
        <v>2156</v>
      </c>
      <c r="O46" s="86">
        <f t="shared" si="1"/>
        <v>1.6138757141437462E-3</v>
      </c>
    </row>
    <row r="47" spans="1:15" s="87" customFormat="1" x14ac:dyDescent="0.25">
      <c r="A47" s="85" t="s">
        <v>170</v>
      </c>
      <c r="B47" s="106">
        <v>0</v>
      </c>
      <c r="C47" s="106">
        <v>0</v>
      </c>
      <c r="D47" s="106">
        <v>0</v>
      </c>
      <c r="E47" s="106">
        <v>0</v>
      </c>
      <c r="F47" s="106">
        <v>0</v>
      </c>
      <c r="G47" s="106">
        <v>218</v>
      </c>
      <c r="H47" s="106">
        <v>109</v>
      </c>
      <c r="I47" s="106">
        <v>327</v>
      </c>
      <c r="J47" s="106">
        <v>109</v>
      </c>
      <c r="K47" s="106">
        <v>0</v>
      </c>
      <c r="L47" s="106">
        <v>0</v>
      </c>
      <c r="M47" s="106">
        <v>0</v>
      </c>
      <c r="N47" s="106">
        <f t="shared" si="0"/>
        <v>763</v>
      </c>
      <c r="O47" s="86">
        <f t="shared" si="1"/>
        <v>5.711443274080141E-4</v>
      </c>
    </row>
    <row r="48" spans="1:15" s="87" customFormat="1" x14ac:dyDescent="0.25">
      <c r="A48" s="85" t="s">
        <v>194</v>
      </c>
      <c r="B48" s="106">
        <v>0</v>
      </c>
      <c r="C48" s="106">
        <v>0</v>
      </c>
      <c r="D48" s="106">
        <v>90</v>
      </c>
      <c r="E48" s="106">
        <v>180</v>
      </c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540</v>
      </c>
      <c r="L48" s="106">
        <v>360</v>
      </c>
      <c r="M48" s="106">
        <v>180</v>
      </c>
      <c r="N48" s="106">
        <f t="shared" si="0"/>
        <v>1350</v>
      </c>
      <c r="O48" s="86">
        <f t="shared" si="1"/>
        <v>1.0105436985593959E-3</v>
      </c>
    </row>
    <row r="49" spans="1:15" s="87" customFormat="1" x14ac:dyDescent="0.25">
      <c r="A49" s="85" t="s">
        <v>171</v>
      </c>
      <c r="B49" s="106">
        <v>0</v>
      </c>
      <c r="C49" s="106">
        <v>0</v>
      </c>
      <c r="D49" s="106">
        <v>0</v>
      </c>
      <c r="E49" s="106">
        <v>0</v>
      </c>
      <c r="F49" s="106">
        <v>0</v>
      </c>
      <c r="G49" s="106">
        <v>258</v>
      </c>
      <c r="H49" s="106">
        <v>645</v>
      </c>
      <c r="I49" s="106">
        <v>258</v>
      </c>
      <c r="J49" s="106">
        <v>645</v>
      </c>
      <c r="K49" s="106">
        <v>0</v>
      </c>
      <c r="L49" s="106">
        <v>0</v>
      </c>
      <c r="M49" s="106">
        <v>0</v>
      </c>
      <c r="N49" s="106">
        <f t="shared" si="0"/>
        <v>1806</v>
      </c>
      <c r="O49" s="86">
        <f t="shared" si="1"/>
        <v>1.3518829034061251E-3</v>
      </c>
    </row>
    <row r="50" spans="1:15" s="87" customFormat="1" x14ac:dyDescent="0.25">
      <c r="A50" s="85" t="s">
        <v>195</v>
      </c>
      <c r="B50" s="106">
        <v>1365</v>
      </c>
      <c r="C50" s="106">
        <v>630</v>
      </c>
      <c r="D50" s="106">
        <v>525</v>
      </c>
      <c r="E50" s="106">
        <v>1680</v>
      </c>
      <c r="F50" s="106">
        <v>315</v>
      </c>
      <c r="G50" s="106">
        <v>0</v>
      </c>
      <c r="H50" s="106">
        <v>0</v>
      </c>
      <c r="I50" s="106">
        <v>0</v>
      </c>
      <c r="J50" s="106">
        <v>0</v>
      </c>
      <c r="K50" s="106">
        <v>420</v>
      </c>
      <c r="L50" s="106">
        <v>105</v>
      </c>
      <c r="M50" s="106">
        <v>105</v>
      </c>
      <c r="N50" s="106">
        <f t="shared" si="0"/>
        <v>5145</v>
      </c>
      <c r="O50" s="86">
        <f t="shared" si="1"/>
        <v>3.8512943178430309E-3</v>
      </c>
    </row>
    <row r="51" spans="1:15" s="87" customFormat="1" x14ac:dyDescent="0.25">
      <c r="A51" s="85" t="s">
        <v>198</v>
      </c>
      <c r="B51" s="106">
        <v>6.6</v>
      </c>
      <c r="C51" s="106">
        <v>9</v>
      </c>
      <c r="D51" s="106">
        <v>10.8</v>
      </c>
      <c r="E51" s="106">
        <v>8.4</v>
      </c>
      <c r="F51" s="106">
        <v>9.6</v>
      </c>
      <c r="G51" s="106">
        <v>7.2</v>
      </c>
      <c r="H51" s="106">
        <v>0</v>
      </c>
      <c r="I51" s="106">
        <v>0</v>
      </c>
      <c r="J51" s="106">
        <v>10.199999999999999</v>
      </c>
      <c r="K51" s="106">
        <v>12.6</v>
      </c>
      <c r="L51" s="106">
        <v>10.8</v>
      </c>
      <c r="M51" s="106">
        <v>7.8</v>
      </c>
      <c r="N51" s="106">
        <f t="shared" si="0"/>
        <v>92.999999999999986</v>
      </c>
      <c r="O51" s="86">
        <f t="shared" si="1"/>
        <v>6.9615232567425038E-5</v>
      </c>
    </row>
    <row r="52" spans="1:15" x14ac:dyDescent="0.25">
      <c r="A52" s="84" t="s">
        <v>25</v>
      </c>
      <c r="B52" s="107">
        <f t="shared" ref="B52:M52" si="2">SUM(B4:B51)</f>
        <v>87292.1</v>
      </c>
      <c r="C52" s="107">
        <f t="shared" si="2"/>
        <v>75969.5</v>
      </c>
      <c r="D52" s="107">
        <f t="shared" si="2"/>
        <v>106972.8</v>
      </c>
      <c r="E52" s="107">
        <f t="shared" si="2"/>
        <v>118522.4</v>
      </c>
      <c r="F52" s="107">
        <f t="shared" si="2"/>
        <v>73646.600000000006</v>
      </c>
      <c r="G52" s="107">
        <f t="shared" si="2"/>
        <v>115148.22</v>
      </c>
      <c r="H52" s="107">
        <f t="shared" si="2"/>
        <v>172260</v>
      </c>
      <c r="I52" s="107">
        <f t="shared" si="2"/>
        <v>162894</v>
      </c>
      <c r="J52" s="107">
        <f t="shared" si="2"/>
        <v>130699.7</v>
      </c>
      <c r="K52" s="107">
        <f t="shared" si="2"/>
        <v>106556.1</v>
      </c>
      <c r="L52" s="107">
        <f t="shared" si="2"/>
        <v>93781.8</v>
      </c>
      <c r="M52" s="107">
        <f t="shared" si="2"/>
        <v>92171.3</v>
      </c>
      <c r="N52" s="108">
        <f t="shared" si="0"/>
        <v>1335914.52</v>
      </c>
      <c r="O52" s="89">
        <f t="shared" si="1"/>
        <v>1</v>
      </c>
    </row>
    <row r="53" spans="1:15" x14ac:dyDescent="0.25">
      <c r="A53" s="90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</row>
    <row r="55" spans="1:15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</row>
    <row r="56" spans="1:15" x14ac:dyDescent="0.25">
      <c r="A56" s="57" t="s">
        <v>148</v>
      </c>
      <c r="B56" s="88">
        <f t="shared" ref="B56:D56" si="3">+B4+B7+B8+B9+B15+B16+B19+B20+B22+B23+B24+B27+B28+B33+B34+B35+B36+B37+B38+B39+B40+B41+B42+B43+B44+B45+B46+B47+B48+B49+B50+B5+B6</f>
        <v>71952</v>
      </c>
      <c r="C56" s="88">
        <f t="shared" si="3"/>
        <v>64403</v>
      </c>
      <c r="D56" s="88">
        <f t="shared" si="3"/>
        <v>88732</v>
      </c>
      <c r="E56" s="88">
        <f>+E4+E7+E8+E9+E15+E16+E19+E20+E22+E23+E24+E27+E28+E33+E34+E35+E36+E37+E38+E39+E40+E41+E42+E43+E44+E45+E46+E47+E48+E49+E50+E5+E6</f>
        <v>97218</v>
      </c>
      <c r="F56" s="88">
        <f t="shared" ref="F56:N56" si="4">+F4+F7+F8+F9+F15+F16+F19+F20+F22+F23+F24+F27+F28+F33+F34+F35+F36+F37+F38+F39+F40+F41+F42+F43+F44+F45+F46+F47+F48+F49+F50+F5+F6</f>
        <v>41173</v>
      </c>
      <c r="G56" s="88">
        <f t="shared" si="4"/>
        <v>80522</v>
      </c>
      <c r="H56" s="88">
        <f t="shared" si="4"/>
        <v>127762</v>
      </c>
      <c r="I56" s="88">
        <f>+I4+I7+I8+I9+I15+I16+I19+I20+I22+I23+I24+I27+I28+I33+I34+I35+I36+I37+I38+I39+I40+I41+I42+I43+I44+I45+I46+I47+I48+I49+I50+I5+I6+I18</f>
        <v>121897</v>
      </c>
      <c r="J56" s="88">
        <f t="shared" ref="J56:M56" si="5">+J4+J7+J8+J9+J15+J16+J19+J20+J22+J23+J24+J27+J28+J33+J34+J35+J36+J37+J38+J39+J40+J41+J42+J43+J44+J45+J46+J47+J48+J49+J50+J5+J6+J18</f>
        <v>103321</v>
      </c>
      <c r="K56" s="88">
        <f t="shared" si="5"/>
        <v>88856</v>
      </c>
      <c r="L56" s="88">
        <f t="shared" si="5"/>
        <v>77517</v>
      </c>
      <c r="M56" s="88">
        <f t="shared" si="5"/>
        <v>76145</v>
      </c>
      <c r="N56" s="88">
        <f t="shared" si="4"/>
        <v>1039498</v>
      </c>
      <c r="O56" s="57"/>
    </row>
    <row r="57" spans="1:15" s="93" customFormat="1" x14ac:dyDescent="0.25">
      <c r="A57" s="91" t="s">
        <v>149</v>
      </c>
      <c r="B57" s="92">
        <f>+B10+B11+B12+B13+B14+B17+B21+B25+B26+B29+B30+B31+B51</f>
        <v>13604.1</v>
      </c>
      <c r="C57" s="92">
        <f t="shared" ref="C57:N57" si="6">+C10+C11+C12+C13+C14+C17+C21+C25+C26+C29+C30+C31+C51</f>
        <v>11566.5</v>
      </c>
      <c r="D57" s="92">
        <f t="shared" si="6"/>
        <v>17992.8</v>
      </c>
      <c r="E57" s="92">
        <f t="shared" si="6"/>
        <v>21304.400000000001</v>
      </c>
      <c r="F57" s="92">
        <f t="shared" si="6"/>
        <v>32473.599999999999</v>
      </c>
      <c r="G57" s="92">
        <f t="shared" si="6"/>
        <v>34626.22</v>
      </c>
      <c r="H57" s="92">
        <f t="shared" si="6"/>
        <v>44498</v>
      </c>
      <c r="I57" s="92">
        <f t="shared" si="6"/>
        <v>40997</v>
      </c>
      <c r="J57" s="92">
        <f t="shared" si="6"/>
        <v>27378.7</v>
      </c>
      <c r="K57" s="92">
        <f t="shared" si="6"/>
        <v>17700.099999999999</v>
      </c>
      <c r="L57" s="92">
        <f t="shared" si="6"/>
        <v>16264.8</v>
      </c>
      <c r="M57" s="92">
        <f t="shared" si="6"/>
        <v>16026.3</v>
      </c>
      <c r="N57" s="92">
        <f t="shared" si="6"/>
        <v>294432.52</v>
      </c>
      <c r="O57" s="92"/>
    </row>
    <row r="58" spans="1:15" s="96" customFormat="1" ht="15.6" thickBot="1" x14ac:dyDescent="0.3">
      <c r="A58" s="94" t="s">
        <v>143</v>
      </c>
      <c r="B58" s="95">
        <f t="shared" ref="B58:N58" si="7">SUM(B56:B57)</f>
        <v>85556.1</v>
      </c>
      <c r="C58" s="95">
        <f t="shared" si="7"/>
        <v>75969.5</v>
      </c>
      <c r="D58" s="95">
        <f t="shared" si="7"/>
        <v>106724.8</v>
      </c>
      <c r="E58" s="95">
        <f t="shared" si="7"/>
        <v>118522.4</v>
      </c>
      <c r="F58" s="95">
        <f t="shared" si="7"/>
        <v>73646.600000000006</v>
      </c>
      <c r="G58" s="95">
        <f t="shared" si="7"/>
        <v>115148.22</v>
      </c>
      <c r="H58" s="95">
        <f t="shared" si="7"/>
        <v>172260</v>
      </c>
      <c r="I58" s="95">
        <f t="shared" si="7"/>
        <v>162894</v>
      </c>
      <c r="J58" s="95">
        <f t="shared" si="7"/>
        <v>130699.7</v>
      </c>
      <c r="K58" s="95">
        <f t="shared" si="7"/>
        <v>106556.1</v>
      </c>
      <c r="L58" s="95">
        <f t="shared" si="7"/>
        <v>93781.8</v>
      </c>
      <c r="M58" s="95">
        <f t="shared" si="7"/>
        <v>92171.3</v>
      </c>
      <c r="N58" s="95">
        <f t="shared" si="7"/>
        <v>1333930.52</v>
      </c>
      <c r="O58" s="94"/>
    </row>
    <row r="59" spans="1:15" ht="15.6" thickTop="1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</row>
    <row r="60" spans="1:15" x14ac:dyDescent="0.25">
      <c r="A60" s="57"/>
      <c r="B60" s="88">
        <f t="shared" ref="B60:M60" si="8">+B58-B52</f>
        <v>-1736</v>
      </c>
      <c r="C60" s="88">
        <f t="shared" si="8"/>
        <v>0</v>
      </c>
      <c r="D60" s="88">
        <f t="shared" si="8"/>
        <v>-248</v>
      </c>
      <c r="E60" s="88">
        <f t="shared" si="8"/>
        <v>0</v>
      </c>
      <c r="F60" s="88">
        <f t="shared" si="8"/>
        <v>0</v>
      </c>
      <c r="G60" s="88">
        <f t="shared" si="8"/>
        <v>0</v>
      </c>
      <c r="H60" s="88">
        <f t="shared" si="8"/>
        <v>0</v>
      </c>
      <c r="I60" s="88">
        <f t="shared" si="8"/>
        <v>0</v>
      </c>
      <c r="J60" s="88">
        <f t="shared" si="8"/>
        <v>0</v>
      </c>
      <c r="K60" s="88">
        <f t="shared" si="8"/>
        <v>0</v>
      </c>
      <c r="L60" s="88">
        <f t="shared" si="8"/>
        <v>0</v>
      </c>
      <c r="M60" s="88">
        <f t="shared" si="8"/>
        <v>0</v>
      </c>
      <c r="N60" s="57"/>
      <c r="O60" s="57"/>
    </row>
    <row r="65" spans="1:14" x14ac:dyDescent="0.25">
      <c r="A65" s="97" t="s">
        <v>204</v>
      </c>
      <c r="B65" s="98">
        <f t="shared" ref="B65:N65" si="9">+B4+B7+B8+B9+B5+B6</f>
        <v>32500</v>
      </c>
      <c r="C65" s="98">
        <f t="shared" si="9"/>
        <v>30752</v>
      </c>
      <c r="D65" s="98">
        <f t="shared" si="9"/>
        <v>42597</v>
      </c>
      <c r="E65" s="98">
        <f t="shared" si="9"/>
        <v>41198</v>
      </c>
      <c r="F65" s="98">
        <f t="shared" si="9"/>
        <v>12500</v>
      </c>
      <c r="G65" s="98">
        <f t="shared" si="9"/>
        <v>31840</v>
      </c>
      <c r="H65" s="98">
        <f t="shared" si="9"/>
        <v>41885</v>
      </c>
      <c r="I65" s="98">
        <f t="shared" si="9"/>
        <v>42325</v>
      </c>
      <c r="J65" s="98">
        <f t="shared" si="9"/>
        <v>36976</v>
      </c>
      <c r="K65" s="98">
        <f t="shared" si="9"/>
        <v>39488</v>
      </c>
      <c r="L65" s="98">
        <f t="shared" si="9"/>
        <v>36330</v>
      </c>
      <c r="M65" s="98">
        <f t="shared" si="9"/>
        <v>36124</v>
      </c>
      <c r="N65" s="98">
        <f t="shared" si="9"/>
        <v>424515</v>
      </c>
    </row>
    <row r="66" spans="1:14" x14ac:dyDescent="0.25">
      <c r="A66" s="97" t="s">
        <v>205</v>
      </c>
      <c r="B66" s="98">
        <f t="shared" ref="B66:N66" si="10">+B15+B16+B23+B24</f>
        <v>26314</v>
      </c>
      <c r="C66" s="98">
        <f t="shared" si="10"/>
        <v>22973</v>
      </c>
      <c r="D66" s="98">
        <f t="shared" si="10"/>
        <v>30966</v>
      </c>
      <c r="E66" s="98">
        <f t="shared" si="10"/>
        <v>37634</v>
      </c>
      <c r="F66" s="98">
        <f t="shared" si="10"/>
        <v>18609</v>
      </c>
      <c r="G66" s="98">
        <f t="shared" si="10"/>
        <v>34899</v>
      </c>
      <c r="H66" s="98">
        <f t="shared" si="10"/>
        <v>62721</v>
      </c>
      <c r="I66" s="98">
        <f t="shared" si="10"/>
        <v>57912</v>
      </c>
      <c r="J66" s="98">
        <f t="shared" si="10"/>
        <v>46008</v>
      </c>
      <c r="K66" s="98">
        <f t="shared" si="10"/>
        <v>33540</v>
      </c>
      <c r="L66" s="98">
        <f t="shared" si="10"/>
        <v>29510</v>
      </c>
      <c r="M66" s="98">
        <f t="shared" si="10"/>
        <v>27778</v>
      </c>
      <c r="N66" s="98">
        <f t="shared" si="10"/>
        <v>428864</v>
      </c>
    </row>
    <row r="67" spans="1:14" x14ac:dyDescent="0.25">
      <c r="A67" s="97" t="s">
        <v>206</v>
      </c>
      <c r="B67" s="98">
        <f t="shared" ref="B67:N67" si="11">+B19+B20+B27+B28</f>
        <v>21</v>
      </c>
      <c r="C67" s="98">
        <f t="shared" si="11"/>
        <v>14</v>
      </c>
      <c r="D67" s="98">
        <f t="shared" si="11"/>
        <v>28</v>
      </c>
      <c r="E67" s="98">
        <f t="shared" si="11"/>
        <v>60</v>
      </c>
      <c r="F67" s="98">
        <f t="shared" si="11"/>
        <v>115</v>
      </c>
      <c r="G67" s="98">
        <f t="shared" si="11"/>
        <v>135</v>
      </c>
      <c r="H67" s="98">
        <f t="shared" si="11"/>
        <v>600</v>
      </c>
      <c r="I67" s="98">
        <f t="shared" si="11"/>
        <v>253</v>
      </c>
      <c r="J67" s="98">
        <f t="shared" si="11"/>
        <v>169</v>
      </c>
      <c r="K67" s="98">
        <f t="shared" si="11"/>
        <v>89</v>
      </c>
      <c r="L67" s="98">
        <f t="shared" si="11"/>
        <v>7</v>
      </c>
      <c r="M67" s="98">
        <f t="shared" si="11"/>
        <v>14</v>
      </c>
      <c r="N67" s="98">
        <f t="shared" si="11"/>
        <v>1505</v>
      </c>
    </row>
    <row r="68" spans="1:14" x14ac:dyDescent="0.25">
      <c r="A68" s="97" t="s">
        <v>207</v>
      </c>
      <c r="B68" s="98">
        <f t="shared" ref="B68:H68" si="12">+B33+B34+B35+B36+B37+B38+B39+B40+B41+B42+B43+B44+B45+B46+B47+B48+B49+B50+B18+B22</f>
        <v>14853</v>
      </c>
      <c r="C68" s="98">
        <f t="shared" si="12"/>
        <v>10664</v>
      </c>
      <c r="D68" s="98">
        <f t="shared" si="12"/>
        <v>15389</v>
      </c>
      <c r="E68" s="98">
        <f t="shared" si="12"/>
        <v>18326</v>
      </c>
      <c r="F68" s="98">
        <f t="shared" si="12"/>
        <v>9949</v>
      </c>
      <c r="G68" s="98">
        <f t="shared" si="12"/>
        <v>13648</v>
      </c>
      <c r="H68" s="98">
        <f t="shared" si="12"/>
        <v>22556</v>
      </c>
      <c r="I68" s="98">
        <f>+I33+I34+I35+I36+I37+I38+I39+I40+I41+I42+I43+I44+I45+I46+I47+I48+I49+I50+I18+I22</f>
        <v>21407</v>
      </c>
      <c r="J68" s="98">
        <f t="shared" ref="J68:M68" si="13">+J33+J34+J35+J36+J37+J38+J39+J40+J41+J42+J43+J44+J45+J46+J47+J48+J49+J50+J18+J22</f>
        <v>20168</v>
      </c>
      <c r="K68" s="98">
        <f t="shared" si="13"/>
        <v>15739</v>
      </c>
      <c r="L68" s="98">
        <f t="shared" si="13"/>
        <v>11670</v>
      </c>
      <c r="M68" s="98">
        <f t="shared" si="13"/>
        <v>12229</v>
      </c>
      <c r="N68" s="98">
        <f t="shared" ref="N68" si="14">+N33+N34+N35+N36+N37+N38+N39+N40+N41+N42+N43+N44+N45+N46+N47+N48+N49+N50</f>
        <v>184006</v>
      </c>
    </row>
    <row r="69" spans="1:14" x14ac:dyDescent="0.25">
      <c r="A69" s="97" t="s">
        <v>208</v>
      </c>
      <c r="B69" s="98">
        <f t="shared" ref="B69:N69" si="15">+B12+B29</f>
        <v>6811</v>
      </c>
      <c r="C69" s="98">
        <f t="shared" si="15"/>
        <v>5997</v>
      </c>
      <c r="D69" s="98">
        <f t="shared" si="15"/>
        <v>9795</v>
      </c>
      <c r="E69" s="98">
        <f t="shared" si="15"/>
        <v>10299</v>
      </c>
      <c r="F69" s="98">
        <f t="shared" si="15"/>
        <v>18851</v>
      </c>
      <c r="G69" s="98">
        <f t="shared" si="15"/>
        <v>15483</v>
      </c>
      <c r="H69" s="98">
        <f t="shared" si="15"/>
        <v>13729</v>
      </c>
      <c r="I69" s="98">
        <f t="shared" si="15"/>
        <v>14360</v>
      </c>
      <c r="J69" s="98">
        <f t="shared" si="15"/>
        <v>12070</v>
      </c>
      <c r="K69" s="98">
        <f t="shared" si="15"/>
        <v>8810</v>
      </c>
      <c r="L69" s="98">
        <f t="shared" si="15"/>
        <v>8795</v>
      </c>
      <c r="M69" s="98">
        <f t="shared" si="15"/>
        <v>9274</v>
      </c>
      <c r="N69" s="98">
        <f t="shared" si="15"/>
        <v>134274</v>
      </c>
    </row>
    <row r="70" spans="1:14" x14ac:dyDescent="0.25">
      <c r="A70" s="97" t="s">
        <v>209</v>
      </c>
      <c r="B70" s="98">
        <f t="shared" ref="B70:N70" si="16">+B13+B14+B25+B26</f>
        <v>5726</v>
      </c>
      <c r="C70" s="98">
        <f t="shared" si="16"/>
        <v>5478</v>
      </c>
      <c r="D70" s="98">
        <f t="shared" si="16"/>
        <v>8088</v>
      </c>
      <c r="E70" s="98">
        <f t="shared" si="16"/>
        <v>10920</v>
      </c>
      <c r="F70" s="98">
        <f t="shared" si="16"/>
        <v>13405</v>
      </c>
      <c r="G70" s="98">
        <f t="shared" si="16"/>
        <v>19070</v>
      </c>
      <c r="H70" s="98">
        <f t="shared" si="16"/>
        <v>30269</v>
      </c>
      <c r="I70" s="98">
        <f t="shared" si="16"/>
        <v>26137</v>
      </c>
      <c r="J70" s="98">
        <f t="shared" si="16"/>
        <v>15205</v>
      </c>
      <c r="K70" s="98">
        <f t="shared" si="16"/>
        <v>8762</v>
      </c>
      <c r="L70" s="98">
        <f t="shared" si="16"/>
        <v>7360</v>
      </c>
      <c r="M70" s="98">
        <f t="shared" si="16"/>
        <v>6658</v>
      </c>
      <c r="N70" s="98">
        <f t="shared" si="16"/>
        <v>157078</v>
      </c>
    </row>
    <row r="71" spans="1:14" x14ac:dyDescent="0.25">
      <c r="A71" s="97" t="s">
        <v>210</v>
      </c>
      <c r="B71" s="98">
        <f t="shared" ref="B71:N71" si="17">+B10+B11+B30+B31</f>
        <v>0</v>
      </c>
      <c r="C71" s="98">
        <f t="shared" si="17"/>
        <v>0</v>
      </c>
      <c r="D71" s="98">
        <f t="shared" si="17"/>
        <v>0</v>
      </c>
      <c r="E71" s="98">
        <f t="shared" si="17"/>
        <v>0</v>
      </c>
      <c r="F71" s="98">
        <f t="shared" si="17"/>
        <v>0</v>
      </c>
      <c r="G71" s="98">
        <f t="shared" si="17"/>
        <v>0</v>
      </c>
      <c r="H71" s="98">
        <f t="shared" si="17"/>
        <v>0</v>
      </c>
      <c r="I71" s="98">
        <f t="shared" si="17"/>
        <v>0</v>
      </c>
      <c r="J71" s="98">
        <f t="shared" si="17"/>
        <v>0</v>
      </c>
      <c r="K71" s="98">
        <f t="shared" si="17"/>
        <v>0</v>
      </c>
      <c r="L71" s="98">
        <f t="shared" si="17"/>
        <v>0</v>
      </c>
      <c r="M71" s="98">
        <f t="shared" si="17"/>
        <v>0</v>
      </c>
      <c r="N71" s="98">
        <f t="shared" si="17"/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30"/>
  <sheetViews>
    <sheetView topLeftCell="A13" workbookViewId="0">
      <selection activeCell="A30" sqref="A30"/>
    </sheetView>
  </sheetViews>
  <sheetFormatPr defaultRowHeight="15" x14ac:dyDescent="0.25"/>
  <cols>
    <col min="1" max="1" width="22.33203125" bestFit="1" customWidth="1"/>
    <col min="2" max="11" width="12" bestFit="1" customWidth="1"/>
    <col min="14" max="14" width="13.08203125" bestFit="1" customWidth="1"/>
  </cols>
  <sheetData>
    <row r="1" spans="1:16" x14ac:dyDescent="0.25">
      <c r="A1" s="13" t="s">
        <v>62</v>
      </c>
    </row>
    <row r="3" spans="1:16" x14ac:dyDescent="0.25">
      <c r="A3" s="14"/>
      <c r="B3" s="15" t="s">
        <v>26</v>
      </c>
      <c r="C3" s="15" t="s">
        <v>27</v>
      </c>
      <c r="D3" s="15" t="s">
        <v>28</v>
      </c>
      <c r="E3" s="15" t="s">
        <v>29</v>
      </c>
      <c r="F3" s="15" t="s">
        <v>30</v>
      </c>
      <c r="G3" s="15" t="s">
        <v>31</v>
      </c>
      <c r="H3" s="16" t="s">
        <v>32</v>
      </c>
      <c r="I3" s="16" t="s">
        <v>33</v>
      </c>
      <c r="J3" s="16" t="s">
        <v>34</v>
      </c>
      <c r="K3" s="16" t="s">
        <v>35</v>
      </c>
      <c r="L3" s="16" t="s">
        <v>36</v>
      </c>
      <c r="M3" s="15" t="s">
        <v>37</v>
      </c>
      <c r="N3" s="15" t="s">
        <v>25</v>
      </c>
      <c r="O3" s="15" t="s">
        <v>38</v>
      </c>
      <c r="P3" s="17"/>
    </row>
    <row r="4" spans="1:16" x14ac:dyDescent="0.25">
      <c r="A4" s="14" t="s">
        <v>1</v>
      </c>
      <c r="B4" s="18">
        <v>1115.4000000000001</v>
      </c>
      <c r="C4" s="18">
        <v>1318.2</v>
      </c>
      <c r="D4" s="18">
        <v>2028</v>
      </c>
      <c r="E4" s="18">
        <v>2230.8000000000002</v>
      </c>
      <c r="F4" s="18">
        <v>2636.4</v>
      </c>
      <c r="G4" s="18">
        <v>1554.8</v>
      </c>
      <c r="H4" s="18">
        <v>2839.2</v>
      </c>
      <c r="I4" s="18">
        <v>2501.1999999999998</v>
      </c>
      <c r="J4" s="18">
        <v>1994.2</v>
      </c>
      <c r="K4" s="18">
        <v>1318.2</v>
      </c>
      <c r="L4" s="18"/>
      <c r="M4" s="18"/>
      <c r="N4" s="18">
        <v>19536.400000000001</v>
      </c>
      <c r="O4" s="19">
        <v>6.3195850560529843E-2</v>
      </c>
      <c r="P4" s="17"/>
    </row>
    <row r="5" spans="1:16" x14ac:dyDescent="0.25">
      <c r="A5" s="14" t="s">
        <v>2</v>
      </c>
      <c r="B5" s="18">
        <v>10267.5</v>
      </c>
      <c r="C5" s="18">
        <v>10267.5</v>
      </c>
      <c r="D5" s="18">
        <v>12163.75</v>
      </c>
      <c r="E5" s="18">
        <v>11608.75</v>
      </c>
      <c r="F5" s="18">
        <v>13088.75</v>
      </c>
      <c r="G5" s="18">
        <v>8556.25</v>
      </c>
      <c r="H5" s="18">
        <v>12395</v>
      </c>
      <c r="I5" s="18">
        <v>12256.25</v>
      </c>
      <c r="J5" s="18">
        <v>9388.75</v>
      </c>
      <c r="K5" s="18">
        <v>11100</v>
      </c>
      <c r="L5" s="18"/>
      <c r="M5" s="18"/>
      <c r="N5" s="18">
        <v>111092.5</v>
      </c>
      <c r="O5" s="19">
        <v>0.35935919762062923</v>
      </c>
      <c r="P5" s="17"/>
    </row>
    <row r="6" spans="1:16" x14ac:dyDescent="0.25">
      <c r="A6" s="14" t="s">
        <v>3</v>
      </c>
      <c r="B6" s="18">
        <v>1856.25</v>
      </c>
      <c r="C6" s="18">
        <v>1631.25</v>
      </c>
      <c r="D6" s="18">
        <v>1818.75</v>
      </c>
      <c r="E6" s="18">
        <v>2306.25</v>
      </c>
      <c r="F6" s="18">
        <v>2325</v>
      </c>
      <c r="G6" s="18">
        <v>3806.25</v>
      </c>
      <c r="H6" s="18">
        <v>2643.75</v>
      </c>
      <c r="I6" s="18">
        <v>3150</v>
      </c>
      <c r="J6" s="18">
        <v>2268.75</v>
      </c>
      <c r="K6" s="18">
        <v>1987.5</v>
      </c>
      <c r="L6" s="18"/>
      <c r="M6" s="18"/>
      <c r="N6" s="18">
        <v>23793.75</v>
      </c>
      <c r="O6" s="19">
        <v>7.6967418218024136E-2</v>
      </c>
      <c r="P6" s="17"/>
    </row>
    <row r="7" spans="1:16" x14ac:dyDescent="0.25">
      <c r="A7" s="14" t="s">
        <v>4</v>
      </c>
      <c r="B7" s="18">
        <v>1275</v>
      </c>
      <c r="C7" s="18">
        <v>1245</v>
      </c>
      <c r="D7" s="18">
        <v>1587.5</v>
      </c>
      <c r="E7" s="18">
        <v>2043.75</v>
      </c>
      <c r="F7" s="18">
        <v>2790</v>
      </c>
      <c r="G7" s="18">
        <v>2733.75</v>
      </c>
      <c r="H7" s="18">
        <v>4523.75</v>
      </c>
      <c r="I7" s="18">
        <v>3687.5</v>
      </c>
      <c r="J7" s="18">
        <v>3391.25</v>
      </c>
      <c r="K7" s="18">
        <v>1753.75</v>
      </c>
      <c r="L7" s="18"/>
      <c r="M7" s="18"/>
      <c r="N7" s="18">
        <v>25031.25</v>
      </c>
      <c r="O7" s="19">
        <v>8.0970451789647138E-2</v>
      </c>
      <c r="P7" s="17"/>
    </row>
    <row r="8" spans="1:16" x14ac:dyDescent="0.25">
      <c r="A8" s="14" t="s">
        <v>5</v>
      </c>
      <c r="B8" s="18">
        <v>207</v>
      </c>
      <c r="C8" s="18">
        <v>181.5</v>
      </c>
      <c r="D8" s="18">
        <v>224</v>
      </c>
      <c r="E8" s="18">
        <v>407.5</v>
      </c>
      <c r="F8" s="18">
        <v>405</v>
      </c>
      <c r="G8" s="18">
        <v>402</v>
      </c>
      <c r="H8" s="18">
        <v>853</v>
      </c>
      <c r="I8" s="18">
        <v>726</v>
      </c>
      <c r="J8" s="18">
        <v>403</v>
      </c>
      <c r="K8" s="18">
        <v>215</v>
      </c>
      <c r="L8" s="18"/>
      <c r="M8" s="18"/>
      <c r="N8" s="18">
        <v>4024</v>
      </c>
      <c r="O8" s="19">
        <v>1.3016733003806845E-2</v>
      </c>
      <c r="P8" s="17"/>
    </row>
    <row r="9" spans="1:16" x14ac:dyDescent="0.25">
      <c r="A9" s="14" t="s">
        <v>6</v>
      </c>
      <c r="B9" s="18">
        <v>4651.5</v>
      </c>
      <c r="C9" s="18">
        <v>4473</v>
      </c>
      <c r="D9" s="18">
        <v>5885.25</v>
      </c>
      <c r="E9" s="18">
        <v>7428.75</v>
      </c>
      <c r="F9" s="18">
        <v>8993.25</v>
      </c>
      <c r="G9" s="18">
        <v>5853.75</v>
      </c>
      <c r="H9" s="18">
        <v>12531.75</v>
      </c>
      <c r="I9" s="18">
        <v>10489.5</v>
      </c>
      <c r="J9" s="18">
        <v>9539.25</v>
      </c>
      <c r="K9" s="18">
        <v>6058.5</v>
      </c>
      <c r="L9" s="18"/>
      <c r="M9" s="18"/>
      <c r="N9" s="18">
        <v>75904.5</v>
      </c>
      <c r="O9" s="19">
        <v>0.24553394887859262</v>
      </c>
      <c r="P9" s="17"/>
    </row>
    <row r="10" spans="1:16" x14ac:dyDescent="0.25">
      <c r="A10" s="14" t="s">
        <v>7</v>
      </c>
      <c r="B10" s="18">
        <v>300</v>
      </c>
      <c r="C10" s="18">
        <v>25</v>
      </c>
      <c r="D10" s="18">
        <v>100</v>
      </c>
      <c r="E10" s="18">
        <v>50</v>
      </c>
      <c r="F10" s="18">
        <v>75</v>
      </c>
      <c r="G10" s="18">
        <v>250</v>
      </c>
      <c r="H10" s="18">
        <v>125</v>
      </c>
      <c r="I10" s="18">
        <v>25</v>
      </c>
      <c r="J10" s="18">
        <v>0</v>
      </c>
      <c r="K10" s="18">
        <v>250</v>
      </c>
      <c r="L10" s="18"/>
      <c r="M10" s="18"/>
      <c r="N10" s="18">
        <v>1200</v>
      </c>
      <c r="O10" s="19">
        <v>3.881729523998065E-3</v>
      </c>
      <c r="P10" s="17"/>
    </row>
    <row r="11" spans="1:16" x14ac:dyDescent="0.25">
      <c r="A11" s="14" t="s">
        <v>8</v>
      </c>
      <c r="B11" s="18">
        <v>262</v>
      </c>
      <c r="C11" s="18">
        <v>258</v>
      </c>
      <c r="D11" s="18">
        <v>670</v>
      </c>
      <c r="E11" s="18">
        <v>401</v>
      </c>
      <c r="F11" s="18">
        <v>226</v>
      </c>
      <c r="G11" s="18">
        <v>714</v>
      </c>
      <c r="H11" s="18">
        <v>679.6</v>
      </c>
      <c r="I11" s="18">
        <v>262</v>
      </c>
      <c r="J11" s="18">
        <v>948</v>
      </c>
      <c r="K11" s="18">
        <v>780</v>
      </c>
      <c r="L11" s="18"/>
      <c r="M11" s="18"/>
      <c r="N11" s="18">
        <v>5200.6000000000004</v>
      </c>
      <c r="O11" s="19">
        <v>1.6822768802086947E-2</v>
      </c>
      <c r="P11" s="17"/>
    </row>
    <row r="12" spans="1:16" x14ac:dyDescent="0.25">
      <c r="A12" s="14" t="s">
        <v>9</v>
      </c>
      <c r="B12" s="18">
        <v>6</v>
      </c>
      <c r="C12" s="18">
        <v>2</v>
      </c>
      <c r="D12" s="18">
        <v>10</v>
      </c>
      <c r="E12" s="18">
        <v>24</v>
      </c>
      <c r="F12" s="18">
        <v>60</v>
      </c>
      <c r="G12" s="18">
        <v>48</v>
      </c>
      <c r="H12" s="18">
        <v>36</v>
      </c>
      <c r="I12" s="18">
        <v>56</v>
      </c>
      <c r="J12" s="18">
        <v>44</v>
      </c>
      <c r="K12" s="18">
        <v>14</v>
      </c>
      <c r="L12" s="18"/>
      <c r="M12" s="18"/>
      <c r="N12" s="18">
        <v>300</v>
      </c>
      <c r="O12" s="19">
        <v>9.7043238099951625E-4</v>
      </c>
      <c r="P12" s="17"/>
    </row>
    <row r="13" spans="1:16" x14ac:dyDescent="0.25">
      <c r="A13" s="14" t="s">
        <v>10</v>
      </c>
      <c r="B13" s="18">
        <v>122</v>
      </c>
      <c r="C13" s="18">
        <v>109.8</v>
      </c>
      <c r="D13" s="18">
        <v>134.19999999999999</v>
      </c>
      <c r="E13" s="18">
        <v>91.5</v>
      </c>
      <c r="F13" s="18">
        <v>134.19999999999999</v>
      </c>
      <c r="G13" s="18">
        <v>67.099999999999994</v>
      </c>
      <c r="H13" s="18">
        <v>0</v>
      </c>
      <c r="I13" s="18">
        <v>0</v>
      </c>
      <c r="J13" s="18">
        <v>115.9</v>
      </c>
      <c r="K13" s="18">
        <v>128.1</v>
      </c>
      <c r="L13" s="18"/>
      <c r="M13" s="18"/>
      <c r="N13" s="18">
        <v>902.8</v>
      </c>
      <c r="O13" s="19">
        <v>2.920354511887878E-3</v>
      </c>
      <c r="P13" s="17"/>
    </row>
    <row r="14" spans="1:16" x14ac:dyDescent="0.25">
      <c r="A14" s="14" t="s">
        <v>11</v>
      </c>
      <c r="B14" s="18">
        <v>14</v>
      </c>
      <c r="C14" s="18">
        <v>17</v>
      </c>
      <c r="D14" s="18">
        <v>44.5</v>
      </c>
      <c r="E14" s="18">
        <v>3</v>
      </c>
      <c r="F14" s="18">
        <v>21</v>
      </c>
      <c r="G14" s="18">
        <v>27</v>
      </c>
      <c r="H14" s="18">
        <v>107.5</v>
      </c>
      <c r="I14" s="18">
        <v>49.75</v>
      </c>
      <c r="J14" s="18">
        <v>47</v>
      </c>
      <c r="K14" s="18">
        <v>10.5</v>
      </c>
      <c r="L14" s="18"/>
      <c r="M14" s="18"/>
      <c r="N14" s="18">
        <v>341.25</v>
      </c>
      <c r="O14" s="19">
        <v>1.1038668333869497E-3</v>
      </c>
      <c r="P14" s="17"/>
    </row>
    <row r="15" spans="1:16" x14ac:dyDescent="0.25">
      <c r="A15" s="14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/>
      <c r="M15" s="18"/>
      <c r="N15" s="18">
        <v>0</v>
      </c>
      <c r="O15" s="19">
        <v>0</v>
      </c>
      <c r="P15" s="17"/>
    </row>
    <row r="16" spans="1:16" x14ac:dyDescent="0.25">
      <c r="A16" s="14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1997</v>
      </c>
      <c r="G16" s="18">
        <v>1376</v>
      </c>
      <c r="H16" s="18">
        <v>2761</v>
      </c>
      <c r="I16" s="18">
        <v>2387</v>
      </c>
      <c r="J16" s="18">
        <v>2111</v>
      </c>
      <c r="K16" s="18">
        <v>0</v>
      </c>
      <c r="L16" s="18"/>
      <c r="M16" s="18"/>
      <c r="N16" s="18">
        <v>10632</v>
      </c>
      <c r="O16" s="19">
        <v>3.4392123582622856E-2</v>
      </c>
      <c r="P16" s="17"/>
    </row>
    <row r="17" spans="1:16" x14ac:dyDescent="0.25">
      <c r="A17" s="14" t="s">
        <v>14</v>
      </c>
      <c r="B17" s="18">
        <v>112.5</v>
      </c>
      <c r="C17" s="18">
        <v>125</v>
      </c>
      <c r="D17" s="18">
        <v>150</v>
      </c>
      <c r="E17" s="18">
        <v>162.5</v>
      </c>
      <c r="F17" s="18">
        <v>150</v>
      </c>
      <c r="G17" s="18">
        <v>312.5</v>
      </c>
      <c r="H17" s="18">
        <v>337.5</v>
      </c>
      <c r="I17" s="18">
        <v>293.75</v>
      </c>
      <c r="J17" s="18">
        <v>162.5</v>
      </c>
      <c r="K17" s="18">
        <v>106.25</v>
      </c>
      <c r="L17" s="18"/>
      <c r="M17" s="18"/>
      <c r="N17" s="18">
        <v>1912.5</v>
      </c>
      <c r="O17" s="19">
        <v>6.1865064288719159E-3</v>
      </c>
      <c r="P17" s="17"/>
    </row>
    <row r="18" spans="1:16" x14ac:dyDescent="0.25">
      <c r="A18" s="14" t="s">
        <v>15</v>
      </c>
      <c r="B18" s="18">
        <v>28</v>
      </c>
      <c r="C18" s="18">
        <v>52.5</v>
      </c>
      <c r="D18" s="18">
        <v>31.5</v>
      </c>
      <c r="E18" s="18">
        <v>31.5</v>
      </c>
      <c r="F18" s="18">
        <v>38.5</v>
      </c>
      <c r="G18" s="18">
        <v>35</v>
      </c>
      <c r="H18" s="18">
        <v>63</v>
      </c>
      <c r="I18" s="18">
        <v>35</v>
      </c>
      <c r="J18" s="18">
        <v>28</v>
      </c>
      <c r="K18" s="18">
        <v>38.5</v>
      </c>
      <c r="L18" s="18"/>
      <c r="M18" s="18"/>
      <c r="N18" s="18">
        <v>381.5</v>
      </c>
      <c r="O18" s="19">
        <v>1.2340665111710515E-3</v>
      </c>
      <c r="P18" s="17"/>
    </row>
    <row r="19" spans="1:16" x14ac:dyDescent="0.25">
      <c r="A19" s="14" t="s">
        <v>16</v>
      </c>
      <c r="B19" s="18">
        <v>36.75</v>
      </c>
      <c r="C19" s="18">
        <v>68.25</v>
      </c>
      <c r="D19" s="18">
        <v>152.25</v>
      </c>
      <c r="E19" s="18">
        <v>105</v>
      </c>
      <c r="F19" s="18">
        <v>262.5</v>
      </c>
      <c r="G19" s="18">
        <v>162.75</v>
      </c>
      <c r="H19" s="18">
        <v>262.5</v>
      </c>
      <c r="I19" s="18">
        <v>246.75</v>
      </c>
      <c r="J19" s="18">
        <v>136.5</v>
      </c>
      <c r="K19" s="18">
        <v>105</v>
      </c>
      <c r="L19" s="18"/>
      <c r="M19" s="18"/>
      <c r="N19" s="18">
        <v>1538.25</v>
      </c>
      <c r="O19" s="19">
        <v>4.9758920335750195E-3</v>
      </c>
      <c r="P19" s="17"/>
    </row>
    <row r="20" spans="1:16" x14ac:dyDescent="0.25">
      <c r="A20" s="14" t="s">
        <v>17</v>
      </c>
      <c r="B20" s="18">
        <v>623</v>
      </c>
      <c r="C20" s="18">
        <v>588</v>
      </c>
      <c r="D20" s="18">
        <v>791</v>
      </c>
      <c r="E20" s="18">
        <v>749</v>
      </c>
      <c r="F20" s="18">
        <v>896</v>
      </c>
      <c r="G20" s="18">
        <v>686</v>
      </c>
      <c r="H20" s="18">
        <v>1057</v>
      </c>
      <c r="I20" s="18">
        <v>1267</v>
      </c>
      <c r="J20" s="18">
        <v>805</v>
      </c>
      <c r="K20" s="18">
        <v>854</v>
      </c>
      <c r="L20" s="18"/>
      <c r="M20" s="18"/>
      <c r="N20" s="18">
        <v>8316</v>
      </c>
      <c r="O20" s="19">
        <v>2.690038560130659E-2</v>
      </c>
      <c r="P20" s="17"/>
    </row>
    <row r="21" spans="1:16" x14ac:dyDescent="0.25">
      <c r="A21" s="14" t="s">
        <v>18</v>
      </c>
      <c r="B21" s="18">
        <v>306</v>
      </c>
      <c r="C21" s="18">
        <v>324</v>
      </c>
      <c r="D21" s="18">
        <v>540</v>
      </c>
      <c r="E21" s="18">
        <v>450</v>
      </c>
      <c r="F21" s="18">
        <v>531</v>
      </c>
      <c r="G21" s="18">
        <v>531</v>
      </c>
      <c r="H21" s="18">
        <v>702</v>
      </c>
      <c r="I21" s="18">
        <v>432</v>
      </c>
      <c r="J21" s="18">
        <v>360</v>
      </c>
      <c r="K21" s="18">
        <v>504</v>
      </c>
      <c r="L21" s="18"/>
      <c r="M21" s="18"/>
      <c r="N21" s="18">
        <v>4680</v>
      </c>
      <c r="O21" s="19">
        <v>1.5138745143592454E-2</v>
      </c>
      <c r="P21" s="17"/>
    </row>
    <row r="22" spans="1:16" x14ac:dyDescent="0.25">
      <c r="A22" s="14" t="s">
        <v>19</v>
      </c>
      <c r="B22" s="18">
        <v>189</v>
      </c>
      <c r="C22" s="18">
        <v>283.5</v>
      </c>
      <c r="D22" s="18">
        <v>304.5</v>
      </c>
      <c r="E22" s="18">
        <v>315</v>
      </c>
      <c r="F22" s="18">
        <v>325.5</v>
      </c>
      <c r="G22" s="18">
        <v>451.5</v>
      </c>
      <c r="H22" s="18">
        <v>598.5</v>
      </c>
      <c r="I22" s="18">
        <v>745.5</v>
      </c>
      <c r="J22" s="18">
        <v>420</v>
      </c>
      <c r="K22" s="18">
        <v>252</v>
      </c>
      <c r="L22" s="18"/>
      <c r="M22" s="18"/>
      <c r="N22" s="18">
        <v>3885</v>
      </c>
      <c r="O22" s="19">
        <v>1.2567099333943735E-2</v>
      </c>
      <c r="P22" s="17"/>
    </row>
    <row r="23" spans="1:16" x14ac:dyDescent="0.25">
      <c r="A23" s="14" t="s">
        <v>20</v>
      </c>
      <c r="B23" s="18">
        <v>252</v>
      </c>
      <c r="C23" s="18">
        <v>378</v>
      </c>
      <c r="D23" s="18">
        <v>308</v>
      </c>
      <c r="E23" s="18">
        <v>518</v>
      </c>
      <c r="F23" s="18">
        <v>588</v>
      </c>
      <c r="G23" s="18">
        <v>462</v>
      </c>
      <c r="H23" s="18">
        <v>868</v>
      </c>
      <c r="I23" s="18">
        <v>770</v>
      </c>
      <c r="J23" s="18">
        <v>742</v>
      </c>
      <c r="K23" s="18">
        <v>406</v>
      </c>
      <c r="L23" s="18"/>
      <c r="M23" s="18"/>
      <c r="N23" s="18">
        <v>5292</v>
      </c>
      <c r="O23" s="19">
        <v>1.7118427200831468E-2</v>
      </c>
      <c r="P23" s="17"/>
    </row>
    <row r="24" spans="1:16" x14ac:dyDescent="0.25">
      <c r="A24" s="14" t="s">
        <v>21</v>
      </c>
      <c r="B24" s="18">
        <v>126</v>
      </c>
      <c r="C24" s="18">
        <v>54</v>
      </c>
      <c r="D24" s="18">
        <v>108</v>
      </c>
      <c r="E24" s="18">
        <v>54</v>
      </c>
      <c r="F24" s="18">
        <v>306</v>
      </c>
      <c r="G24" s="18">
        <v>216</v>
      </c>
      <c r="H24" s="18">
        <v>126</v>
      </c>
      <c r="I24" s="18">
        <v>144</v>
      </c>
      <c r="J24" s="18">
        <v>324</v>
      </c>
      <c r="K24" s="18">
        <v>252</v>
      </c>
      <c r="L24" s="18"/>
      <c r="M24" s="18"/>
      <c r="N24" s="18">
        <v>1710</v>
      </c>
      <c r="O24" s="19">
        <v>5.5314645716972432E-3</v>
      </c>
      <c r="P24" s="17"/>
    </row>
    <row r="25" spans="1:16" x14ac:dyDescent="0.25">
      <c r="A25" s="14" t="s">
        <v>22</v>
      </c>
      <c r="B25" s="18">
        <v>200</v>
      </c>
      <c r="C25" s="18">
        <v>250</v>
      </c>
      <c r="D25" s="18">
        <v>325</v>
      </c>
      <c r="E25" s="18">
        <v>75</v>
      </c>
      <c r="F25" s="18">
        <v>75</v>
      </c>
      <c r="G25" s="18">
        <v>125</v>
      </c>
      <c r="H25" s="18">
        <v>250</v>
      </c>
      <c r="I25" s="18">
        <v>475</v>
      </c>
      <c r="J25" s="18">
        <v>675</v>
      </c>
      <c r="K25" s="18">
        <v>250</v>
      </c>
      <c r="L25" s="18"/>
      <c r="M25" s="18"/>
      <c r="N25" s="18">
        <v>2700</v>
      </c>
      <c r="O25" s="19">
        <v>8.7338914289956469E-3</v>
      </c>
      <c r="P25" s="17"/>
    </row>
    <row r="26" spans="1:16" x14ac:dyDescent="0.25">
      <c r="A26" s="14" t="s">
        <v>23</v>
      </c>
      <c r="B26" s="18">
        <v>0</v>
      </c>
      <c r="C26" s="18">
        <v>26.25</v>
      </c>
      <c r="D26" s="18">
        <v>0</v>
      </c>
      <c r="E26" s="18">
        <v>0</v>
      </c>
      <c r="F26" s="18">
        <v>0</v>
      </c>
      <c r="G26" s="18">
        <v>15.75</v>
      </c>
      <c r="H26" s="18">
        <v>110.25</v>
      </c>
      <c r="I26" s="18">
        <v>78.75</v>
      </c>
      <c r="J26" s="18">
        <v>78.75</v>
      </c>
      <c r="K26" s="18">
        <v>31.5</v>
      </c>
      <c r="L26" s="18"/>
      <c r="M26" s="18"/>
      <c r="N26" s="18">
        <v>341.25</v>
      </c>
      <c r="O26" s="19">
        <v>1.1038668333869497E-3</v>
      </c>
      <c r="P26" s="17"/>
    </row>
    <row r="27" spans="1:16" x14ac:dyDescent="0.25">
      <c r="A27" s="14" t="s">
        <v>24</v>
      </c>
      <c r="B27" s="18">
        <v>0</v>
      </c>
      <c r="C27" s="18">
        <v>100</v>
      </c>
      <c r="D27" s="18">
        <v>0</v>
      </c>
      <c r="E27" s="18">
        <v>0</v>
      </c>
      <c r="F27" s="18">
        <v>0</v>
      </c>
      <c r="G27" s="18">
        <v>100</v>
      </c>
      <c r="H27" s="18">
        <v>50</v>
      </c>
      <c r="I27" s="18">
        <v>125</v>
      </c>
      <c r="J27" s="18">
        <v>25</v>
      </c>
      <c r="K27" s="18">
        <v>25</v>
      </c>
      <c r="L27" s="18"/>
      <c r="M27" s="18"/>
      <c r="N27" s="18">
        <v>425</v>
      </c>
      <c r="O27" s="19">
        <v>1.3747792064159813E-3</v>
      </c>
      <c r="P27" s="17"/>
    </row>
    <row r="28" spans="1:16" x14ac:dyDescent="0.25">
      <c r="A28" s="14" t="s">
        <v>25</v>
      </c>
      <c r="B28" s="18">
        <v>21949.9</v>
      </c>
      <c r="C28" s="18">
        <v>21777.75</v>
      </c>
      <c r="D28" s="18">
        <v>27376.2</v>
      </c>
      <c r="E28" s="18">
        <v>29055.3</v>
      </c>
      <c r="F28" s="18">
        <v>35924.1</v>
      </c>
      <c r="G28" s="18">
        <v>28486.400000000001</v>
      </c>
      <c r="H28" s="18">
        <v>43920.3</v>
      </c>
      <c r="I28" s="18">
        <v>40202.949999999997</v>
      </c>
      <c r="J28" s="18">
        <v>34007.85</v>
      </c>
      <c r="K28" s="18">
        <v>26439.8</v>
      </c>
      <c r="L28" s="18">
        <v>0</v>
      </c>
      <c r="M28" s="18">
        <v>0</v>
      </c>
      <c r="N28" s="18">
        <v>309140.55</v>
      </c>
      <c r="O28" s="19">
        <v>1</v>
      </c>
      <c r="P28" s="17"/>
    </row>
    <row r="29" spans="1:16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6" x14ac:dyDescent="0.25">
      <c r="A30" s="13"/>
    </row>
  </sheetData>
  <phoneticPr fontId="0" type="noConversion"/>
  <pageMargins left="0.75" right="0.75" top="1" bottom="1" header="0.5" footer="0.5"/>
  <pageSetup scale="5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29"/>
  <sheetViews>
    <sheetView topLeftCell="A13" workbookViewId="0"/>
  </sheetViews>
  <sheetFormatPr defaultRowHeight="15" x14ac:dyDescent="0.25"/>
  <cols>
    <col min="1" max="1" width="21.33203125" bestFit="1" customWidth="1"/>
    <col min="2" max="13" width="12" bestFit="1" customWidth="1"/>
    <col min="14" max="14" width="13.08203125" bestFit="1" customWidth="1"/>
    <col min="15" max="15" width="7" bestFit="1" customWidth="1"/>
  </cols>
  <sheetData>
    <row r="1" spans="1:16" x14ac:dyDescent="0.25">
      <c r="A1" s="13" t="s">
        <v>40</v>
      </c>
    </row>
    <row r="3" spans="1:16" x14ac:dyDescent="0.25">
      <c r="A3" s="14"/>
      <c r="B3" s="15" t="s">
        <v>26</v>
      </c>
      <c r="C3" s="15" t="s">
        <v>27</v>
      </c>
      <c r="D3" s="15" t="s">
        <v>28</v>
      </c>
      <c r="E3" s="15" t="s">
        <v>54</v>
      </c>
      <c r="F3" s="15" t="s">
        <v>30</v>
      </c>
      <c r="G3" s="15" t="s">
        <v>55</v>
      </c>
      <c r="H3" s="16" t="s">
        <v>56</v>
      </c>
      <c r="I3" s="16" t="s">
        <v>57</v>
      </c>
      <c r="J3" s="16" t="s">
        <v>58</v>
      </c>
      <c r="K3" s="16" t="s">
        <v>59</v>
      </c>
      <c r="L3" s="16" t="s">
        <v>60</v>
      </c>
      <c r="M3" s="15" t="s">
        <v>61</v>
      </c>
      <c r="N3" s="15" t="s">
        <v>25</v>
      </c>
      <c r="O3" s="15" t="s">
        <v>38</v>
      </c>
      <c r="P3" s="17"/>
    </row>
    <row r="4" spans="1:16" x14ac:dyDescent="0.25">
      <c r="A4" s="14" t="s">
        <v>1</v>
      </c>
      <c r="B4" s="18">
        <v>1284.4000000000001</v>
      </c>
      <c r="C4" s="18">
        <v>1284.4000000000001</v>
      </c>
      <c r="D4" s="18">
        <v>1690</v>
      </c>
      <c r="E4" s="18">
        <v>1723.8</v>
      </c>
      <c r="F4" s="18">
        <v>2264.6</v>
      </c>
      <c r="G4" s="18">
        <v>2061.8000000000002</v>
      </c>
      <c r="H4" s="18">
        <v>2264.6</v>
      </c>
      <c r="I4" s="18">
        <v>2197</v>
      </c>
      <c r="J4" s="18">
        <v>1554.8</v>
      </c>
      <c r="K4" s="18">
        <v>1419.6</v>
      </c>
      <c r="L4" s="18">
        <v>1250.5999999999999</v>
      </c>
      <c r="M4" s="18">
        <v>1250.5999999999999</v>
      </c>
      <c r="N4" s="18">
        <v>20246.2</v>
      </c>
      <c r="O4" s="19">
        <v>5.5784191209544212E-2</v>
      </c>
      <c r="P4" s="17"/>
    </row>
    <row r="5" spans="1:16" x14ac:dyDescent="0.25">
      <c r="A5" s="14" t="s">
        <v>2</v>
      </c>
      <c r="B5" s="18">
        <v>10082.5</v>
      </c>
      <c r="C5" s="18">
        <v>10036.25</v>
      </c>
      <c r="D5" s="18">
        <v>12256.25</v>
      </c>
      <c r="E5" s="18">
        <v>11238.75</v>
      </c>
      <c r="F5" s="18">
        <v>13181.25</v>
      </c>
      <c r="G5" s="18">
        <v>12302.5</v>
      </c>
      <c r="H5" s="18">
        <v>11100</v>
      </c>
      <c r="I5" s="18">
        <v>11285</v>
      </c>
      <c r="J5" s="18">
        <v>11007.5</v>
      </c>
      <c r="K5" s="18">
        <v>10683.75</v>
      </c>
      <c r="L5" s="18">
        <v>10406.25</v>
      </c>
      <c r="M5" s="18">
        <v>11562.5</v>
      </c>
      <c r="N5" s="18">
        <v>135142.5</v>
      </c>
      <c r="O5" s="19">
        <v>0.37235703789036112</v>
      </c>
      <c r="P5" s="17"/>
    </row>
    <row r="6" spans="1:16" x14ac:dyDescent="0.25">
      <c r="A6" s="14" t="s">
        <v>3</v>
      </c>
      <c r="B6" s="18">
        <v>1518.75</v>
      </c>
      <c r="C6" s="18">
        <v>1275</v>
      </c>
      <c r="D6" s="18">
        <v>1931.25</v>
      </c>
      <c r="E6" s="18">
        <v>1875</v>
      </c>
      <c r="F6" s="18">
        <v>2643.75</v>
      </c>
      <c r="G6" s="18">
        <v>2287.5</v>
      </c>
      <c r="H6" s="18">
        <v>2418.75</v>
      </c>
      <c r="I6" s="18">
        <v>2681.25</v>
      </c>
      <c r="J6" s="18">
        <v>2193.75</v>
      </c>
      <c r="K6" s="18">
        <v>1968.75</v>
      </c>
      <c r="L6" s="18">
        <v>2043.75</v>
      </c>
      <c r="M6" s="18">
        <v>1743.75</v>
      </c>
      <c r="N6" s="18">
        <v>24581.25</v>
      </c>
      <c r="O6" s="19">
        <v>6.7728519434244891E-2</v>
      </c>
      <c r="P6" s="17"/>
    </row>
    <row r="7" spans="1:16" x14ac:dyDescent="0.25">
      <c r="A7" s="14" t="s">
        <v>41</v>
      </c>
      <c r="B7" s="18">
        <v>118.75</v>
      </c>
      <c r="C7" s="18">
        <v>75</v>
      </c>
      <c r="D7" s="18">
        <v>131.25</v>
      </c>
      <c r="E7" s="18">
        <v>200</v>
      </c>
      <c r="F7" s="18">
        <v>162.5</v>
      </c>
      <c r="G7" s="18">
        <v>225</v>
      </c>
      <c r="H7" s="18">
        <v>287.5</v>
      </c>
      <c r="I7" s="18">
        <v>312.5</v>
      </c>
      <c r="J7" s="18">
        <v>137.5</v>
      </c>
      <c r="K7" s="18">
        <v>187.5</v>
      </c>
      <c r="L7" s="18">
        <v>137.5</v>
      </c>
      <c r="M7" s="18">
        <v>193.75</v>
      </c>
      <c r="N7" s="18">
        <v>2168.75</v>
      </c>
      <c r="O7" s="19">
        <v>5.9755393449486332E-3</v>
      </c>
      <c r="P7" s="17"/>
    </row>
    <row r="8" spans="1:16" x14ac:dyDescent="0.25">
      <c r="A8" s="14" t="s">
        <v>4</v>
      </c>
      <c r="B8" s="18">
        <v>1332.5</v>
      </c>
      <c r="C8" s="18">
        <v>1177.5</v>
      </c>
      <c r="D8" s="18">
        <v>1763.75</v>
      </c>
      <c r="E8" s="18">
        <v>2051.25</v>
      </c>
      <c r="F8" s="18">
        <v>2618.75</v>
      </c>
      <c r="G8" s="18">
        <v>2162.5</v>
      </c>
      <c r="H8" s="18">
        <v>4305</v>
      </c>
      <c r="I8" s="18">
        <v>4060</v>
      </c>
      <c r="J8" s="18">
        <v>3171.25</v>
      </c>
      <c r="K8" s="18">
        <v>1997.5</v>
      </c>
      <c r="L8" s="18">
        <v>1490</v>
      </c>
      <c r="M8" s="18">
        <v>1572.5</v>
      </c>
      <c r="N8" s="18">
        <v>27702.5</v>
      </c>
      <c r="O8" s="19">
        <v>7.6328474330116206E-2</v>
      </c>
      <c r="P8" s="17"/>
    </row>
    <row r="9" spans="1:16" x14ac:dyDescent="0.25">
      <c r="A9" s="14" t="s">
        <v>5</v>
      </c>
      <c r="B9" s="18">
        <v>212.5</v>
      </c>
      <c r="C9" s="18">
        <v>170.5</v>
      </c>
      <c r="D9" s="18">
        <v>266.5</v>
      </c>
      <c r="E9" s="18">
        <v>388.5</v>
      </c>
      <c r="F9" s="18">
        <v>384</v>
      </c>
      <c r="G9" s="18">
        <v>397</v>
      </c>
      <c r="H9" s="18">
        <v>779</v>
      </c>
      <c r="I9" s="18">
        <v>696.5</v>
      </c>
      <c r="J9" s="18">
        <v>378</v>
      </c>
      <c r="K9" s="18">
        <v>260.5</v>
      </c>
      <c r="L9" s="18">
        <v>261</v>
      </c>
      <c r="M9" s="18">
        <v>277</v>
      </c>
      <c r="N9" s="18">
        <v>4471</v>
      </c>
      <c r="O9" s="19">
        <v>1.2318910160813989E-2</v>
      </c>
      <c r="P9" s="17"/>
    </row>
    <row r="10" spans="1:16" x14ac:dyDescent="0.25">
      <c r="A10" s="14" t="s">
        <v>6</v>
      </c>
      <c r="B10" s="18">
        <v>4362.75</v>
      </c>
      <c r="C10" s="18">
        <v>4368</v>
      </c>
      <c r="D10" s="18">
        <v>6111</v>
      </c>
      <c r="E10" s="18">
        <v>6940.5</v>
      </c>
      <c r="F10" s="18">
        <v>8305.5</v>
      </c>
      <c r="G10" s="18">
        <v>6972</v>
      </c>
      <c r="H10" s="18">
        <v>12657.75</v>
      </c>
      <c r="I10" s="18">
        <v>11508</v>
      </c>
      <c r="J10" s="18">
        <v>9644.25</v>
      </c>
      <c r="K10" s="18">
        <v>7014</v>
      </c>
      <c r="L10" s="18">
        <v>5717.25</v>
      </c>
      <c r="M10" s="18">
        <v>5549.25</v>
      </c>
      <c r="N10" s="18">
        <v>89150.25</v>
      </c>
      <c r="O10" s="19">
        <v>0.24563496322167466</v>
      </c>
      <c r="P10" s="17"/>
    </row>
    <row r="11" spans="1:16" x14ac:dyDescent="0.25">
      <c r="A11" s="14" t="s">
        <v>9</v>
      </c>
      <c r="B11" s="18">
        <v>10</v>
      </c>
      <c r="C11" s="18">
        <v>8</v>
      </c>
      <c r="D11" s="18">
        <v>36</v>
      </c>
      <c r="E11" s="18">
        <v>8</v>
      </c>
      <c r="F11" s="18">
        <v>28</v>
      </c>
      <c r="G11" s="18">
        <v>56</v>
      </c>
      <c r="H11" s="18">
        <v>56</v>
      </c>
      <c r="I11" s="18">
        <v>68</v>
      </c>
      <c r="J11" s="18">
        <v>22</v>
      </c>
      <c r="K11" s="18">
        <v>36</v>
      </c>
      <c r="L11" s="18">
        <v>2</v>
      </c>
      <c r="M11" s="18">
        <v>12</v>
      </c>
      <c r="N11" s="18">
        <v>342</v>
      </c>
      <c r="O11" s="19">
        <v>9.4230983560688534E-4</v>
      </c>
      <c r="P11" s="17"/>
    </row>
    <row r="12" spans="1:16" x14ac:dyDescent="0.25">
      <c r="A12" s="14" t="s">
        <v>42</v>
      </c>
      <c r="B12" s="18">
        <v>3.5</v>
      </c>
      <c r="C12" s="18">
        <v>28</v>
      </c>
      <c r="D12" s="18">
        <v>49</v>
      </c>
      <c r="E12" s="18">
        <v>31.5</v>
      </c>
      <c r="F12" s="18">
        <v>52.5</v>
      </c>
      <c r="G12" s="18">
        <v>52.5</v>
      </c>
      <c r="H12" s="18">
        <v>87.5</v>
      </c>
      <c r="I12" s="18">
        <v>28</v>
      </c>
      <c r="J12" s="18">
        <v>45.5</v>
      </c>
      <c r="K12" s="18">
        <v>24.5</v>
      </c>
      <c r="L12" s="18">
        <v>31.5</v>
      </c>
      <c r="M12" s="18">
        <v>17.5</v>
      </c>
      <c r="N12" s="18">
        <v>451.5</v>
      </c>
      <c r="O12" s="19">
        <v>1.2440143005161075E-3</v>
      </c>
      <c r="P12" s="17"/>
    </row>
    <row r="13" spans="1:16" x14ac:dyDescent="0.25">
      <c r="A13" s="14" t="s">
        <v>43</v>
      </c>
      <c r="B13" s="18">
        <v>36.75</v>
      </c>
      <c r="C13" s="18">
        <v>10.5</v>
      </c>
      <c r="D13" s="18">
        <v>105</v>
      </c>
      <c r="E13" s="18">
        <v>147</v>
      </c>
      <c r="F13" s="18">
        <v>267.75</v>
      </c>
      <c r="G13" s="18">
        <v>262.5</v>
      </c>
      <c r="H13" s="18">
        <v>241.5</v>
      </c>
      <c r="I13" s="18">
        <v>288.75</v>
      </c>
      <c r="J13" s="18">
        <v>199.5</v>
      </c>
      <c r="K13" s="18">
        <v>141.75</v>
      </c>
      <c r="L13" s="18">
        <v>120.75</v>
      </c>
      <c r="M13" s="18">
        <v>31.5</v>
      </c>
      <c r="N13" s="18">
        <v>1853.25</v>
      </c>
      <c r="O13" s="19">
        <v>5.1062447451416968E-3</v>
      </c>
      <c r="P13" s="17"/>
    </row>
    <row r="14" spans="1:16" x14ac:dyDescent="0.25">
      <c r="A14" s="14" t="s">
        <v>44</v>
      </c>
      <c r="B14" s="18">
        <v>15.75</v>
      </c>
      <c r="C14" s="18">
        <v>26.25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10.5</v>
      </c>
      <c r="J14" s="18">
        <v>42</v>
      </c>
      <c r="K14" s="18">
        <v>36.75</v>
      </c>
      <c r="L14" s="18">
        <v>26.25</v>
      </c>
      <c r="M14" s="18">
        <v>0</v>
      </c>
      <c r="N14" s="18">
        <v>157.5</v>
      </c>
      <c r="O14" s="19">
        <v>4.3395847692422355E-4</v>
      </c>
      <c r="P14" s="17"/>
    </row>
    <row r="15" spans="1:16" x14ac:dyDescent="0.25">
      <c r="A15" s="14" t="s">
        <v>45</v>
      </c>
      <c r="B15" s="18">
        <v>371</v>
      </c>
      <c r="C15" s="18">
        <v>616</v>
      </c>
      <c r="D15" s="18">
        <v>805</v>
      </c>
      <c r="E15" s="18">
        <v>1050</v>
      </c>
      <c r="F15" s="18">
        <v>1246</v>
      </c>
      <c r="G15" s="18">
        <v>735</v>
      </c>
      <c r="H15" s="18">
        <v>826</v>
      </c>
      <c r="I15" s="18">
        <v>826</v>
      </c>
      <c r="J15" s="18">
        <v>889</v>
      </c>
      <c r="K15" s="18">
        <v>770</v>
      </c>
      <c r="L15" s="18">
        <v>693</v>
      </c>
      <c r="M15" s="18">
        <v>616</v>
      </c>
      <c r="N15" s="18">
        <v>9443</v>
      </c>
      <c r="O15" s="19">
        <v>2.6018221572034556E-2</v>
      </c>
      <c r="P15" s="17"/>
    </row>
    <row r="16" spans="1:16" x14ac:dyDescent="0.25">
      <c r="A16" s="14" t="s">
        <v>46</v>
      </c>
      <c r="B16" s="18">
        <v>342</v>
      </c>
      <c r="C16" s="18">
        <v>153</v>
      </c>
      <c r="D16" s="18">
        <v>234</v>
      </c>
      <c r="E16" s="18">
        <v>297</v>
      </c>
      <c r="F16" s="18">
        <v>450</v>
      </c>
      <c r="G16" s="18">
        <v>432</v>
      </c>
      <c r="H16" s="18">
        <v>405</v>
      </c>
      <c r="I16" s="18">
        <v>468</v>
      </c>
      <c r="J16" s="18">
        <v>297</v>
      </c>
      <c r="K16" s="18">
        <v>324</v>
      </c>
      <c r="L16" s="18">
        <v>333</v>
      </c>
      <c r="M16" s="18">
        <v>414</v>
      </c>
      <c r="N16" s="18">
        <v>4149</v>
      </c>
      <c r="O16" s="19">
        <v>1.1431706163546688E-2</v>
      </c>
      <c r="P16" s="17"/>
    </row>
    <row r="17" spans="1:16" x14ac:dyDescent="0.25">
      <c r="A17" s="14" t="s">
        <v>47</v>
      </c>
      <c r="B17" s="18">
        <v>168</v>
      </c>
      <c r="C17" s="18">
        <v>126</v>
      </c>
      <c r="D17" s="18">
        <v>210</v>
      </c>
      <c r="E17" s="18">
        <v>294</v>
      </c>
      <c r="F17" s="18">
        <v>367.5</v>
      </c>
      <c r="G17" s="18">
        <v>451.5</v>
      </c>
      <c r="H17" s="18">
        <v>514.5</v>
      </c>
      <c r="I17" s="18">
        <v>535.5</v>
      </c>
      <c r="J17" s="18">
        <v>567</v>
      </c>
      <c r="K17" s="18">
        <v>409.5</v>
      </c>
      <c r="L17" s="18">
        <v>283.5</v>
      </c>
      <c r="M17" s="18">
        <v>346.5</v>
      </c>
      <c r="N17" s="18">
        <v>4273.5</v>
      </c>
      <c r="O17" s="19">
        <v>1.1774740007210599E-2</v>
      </c>
      <c r="P17" s="17"/>
    </row>
    <row r="18" spans="1:16" x14ac:dyDescent="0.25">
      <c r="A18" s="14" t="s">
        <v>48</v>
      </c>
      <c r="B18" s="18">
        <v>98</v>
      </c>
      <c r="C18" s="18">
        <v>140</v>
      </c>
      <c r="D18" s="18">
        <v>280</v>
      </c>
      <c r="E18" s="18">
        <v>210</v>
      </c>
      <c r="F18" s="18">
        <v>504</v>
      </c>
      <c r="G18" s="18">
        <v>574</v>
      </c>
      <c r="H18" s="18">
        <v>1148</v>
      </c>
      <c r="I18" s="18">
        <v>1148</v>
      </c>
      <c r="J18" s="18">
        <v>770</v>
      </c>
      <c r="K18" s="18">
        <v>210</v>
      </c>
      <c r="L18" s="18">
        <v>280</v>
      </c>
      <c r="M18" s="18">
        <v>196</v>
      </c>
      <c r="N18" s="18">
        <v>5558</v>
      </c>
      <c r="O18" s="19">
        <v>1.5313912474570377E-2</v>
      </c>
      <c r="P18" s="17"/>
    </row>
    <row r="19" spans="1:16" x14ac:dyDescent="0.25">
      <c r="A19" s="14" t="s">
        <v>49</v>
      </c>
      <c r="B19" s="18">
        <v>108</v>
      </c>
      <c r="C19" s="18">
        <v>144</v>
      </c>
      <c r="D19" s="18">
        <v>144</v>
      </c>
      <c r="E19" s="18">
        <v>72</v>
      </c>
      <c r="F19" s="18">
        <v>162</v>
      </c>
      <c r="G19" s="18">
        <v>324</v>
      </c>
      <c r="H19" s="18">
        <v>162</v>
      </c>
      <c r="I19" s="18">
        <v>486</v>
      </c>
      <c r="J19" s="18">
        <v>414</v>
      </c>
      <c r="K19" s="18">
        <v>144</v>
      </c>
      <c r="L19" s="18">
        <v>126</v>
      </c>
      <c r="M19" s="18">
        <v>324</v>
      </c>
      <c r="N19" s="18">
        <v>2610</v>
      </c>
      <c r="O19" s="19">
        <v>7.1913119033157041E-3</v>
      </c>
      <c r="P19" s="17"/>
    </row>
    <row r="20" spans="1:16" x14ac:dyDescent="0.25">
      <c r="A20" s="14" t="s">
        <v>50</v>
      </c>
      <c r="B20" s="18">
        <v>200</v>
      </c>
      <c r="C20" s="18">
        <v>550</v>
      </c>
      <c r="D20" s="18">
        <v>150</v>
      </c>
      <c r="E20" s="18">
        <v>175</v>
      </c>
      <c r="F20" s="18">
        <v>175</v>
      </c>
      <c r="G20" s="18">
        <v>400</v>
      </c>
      <c r="H20" s="18">
        <v>175</v>
      </c>
      <c r="I20" s="18">
        <v>200</v>
      </c>
      <c r="J20" s="18">
        <v>150</v>
      </c>
      <c r="K20" s="18">
        <v>300</v>
      </c>
      <c r="L20" s="18">
        <v>225</v>
      </c>
      <c r="M20" s="18">
        <v>175</v>
      </c>
      <c r="N20" s="18">
        <v>2875</v>
      </c>
      <c r="O20" s="19">
        <v>7.9214642613151913E-3</v>
      </c>
      <c r="P20" s="17"/>
    </row>
    <row r="21" spans="1:16" x14ac:dyDescent="0.25">
      <c r="A21" s="14" t="s">
        <v>51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25</v>
      </c>
      <c r="K21" s="18">
        <v>100</v>
      </c>
      <c r="L21" s="18">
        <v>0</v>
      </c>
      <c r="M21" s="18">
        <v>0</v>
      </c>
      <c r="N21" s="18">
        <v>125</v>
      </c>
      <c r="O21" s="19">
        <v>3.4441148962239962E-4</v>
      </c>
      <c r="P21" s="17"/>
    </row>
    <row r="22" spans="1:16" x14ac:dyDescent="0.25">
      <c r="A22" s="14" t="s">
        <v>7</v>
      </c>
      <c r="B22" s="18">
        <v>1050</v>
      </c>
      <c r="C22" s="18">
        <v>1025</v>
      </c>
      <c r="D22" s="18">
        <v>900</v>
      </c>
      <c r="E22" s="18">
        <v>950</v>
      </c>
      <c r="F22" s="18">
        <v>625</v>
      </c>
      <c r="G22" s="18">
        <v>750</v>
      </c>
      <c r="H22" s="18">
        <v>500</v>
      </c>
      <c r="I22" s="18">
        <v>543</v>
      </c>
      <c r="J22" s="18">
        <v>775</v>
      </c>
      <c r="K22" s="18">
        <v>225</v>
      </c>
      <c r="L22" s="18">
        <v>750</v>
      </c>
      <c r="M22" s="18">
        <v>625</v>
      </c>
      <c r="N22" s="18">
        <v>8718</v>
      </c>
      <c r="O22" s="19">
        <v>2.402063493222464E-2</v>
      </c>
      <c r="P22" s="17"/>
    </row>
    <row r="23" spans="1:16" x14ac:dyDescent="0.25">
      <c r="A23" s="14" t="s">
        <v>8</v>
      </c>
      <c r="B23" s="18">
        <v>76</v>
      </c>
      <c r="C23" s="18">
        <v>1015</v>
      </c>
      <c r="D23" s="18">
        <v>470.8</v>
      </c>
      <c r="E23" s="18">
        <v>131.05000000000001</v>
      </c>
      <c r="F23" s="18">
        <v>783</v>
      </c>
      <c r="G23" s="18">
        <v>495.05</v>
      </c>
      <c r="H23" s="18">
        <v>515.75</v>
      </c>
      <c r="I23" s="18">
        <v>33</v>
      </c>
      <c r="J23" s="18">
        <v>1493.15</v>
      </c>
      <c r="K23" s="18">
        <v>364.8</v>
      </c>
      <c r="L23" s="18">
        <v>358.25</v>
      </c>
      <c r="M23" s="18">
        <v>680</v>
      </c>
      <c r="N23" s="18">
        <v>6415.85</v>
      </c>
      <c r="O23" s="19">
        <v>1.7677539645550983E-2</v>
      </c>
      <c r="P23" s="17"/>
    </row>
    <row r="24" spans="1:16" x14ac:dyDescent="0.25">
      <c r="A24" s="14" t="s">
        <v>11</v>
      </c>
      <c r="B24" s="18">
        <v>10</v>
      </c>
      <c r="C24" s="18">
        <v>9</v>
      </c>
      <c r="D24" s="18">
        <v>8</v>
      </c>
      <c r="E24" s="18">
        <v>30</v>
      </c>
      <c r="F24" s="18">
        <v>23</v>
      </c>
      <c r="G24" s="18">
        <v>56.5</v>
      </c>
      <c r="H24" s="18">
        <v>32.5</v>
      </c>
      <c r="I24" s="18">
        <v>26.5</v>
      </c>
      <c r="J24" s="18">
        <v>44</v>
      </c>
      <c r="K24" s="18">
        <v>29.5</v>
      </c>
      <c r="L24" s="18">
        <v>10</v>
      </c>
      <c r="M24" s="18">
        <v>0</v>
      </c>
      <c r="N24" s="18">
        <v>279</v>
      </c>
      <c r="O24" s="19">
        <v>7.6872644483719601E-4</v>
      </c>
      <c r="P24" s="17"/>
    </row>
    <row r="25" spans="1:16" x14ac:dyDescent="0.25">
      <c r="A25" s="14" t="s">
        <v>52</v>
      </c>
      <c r="B25" s="18">
        <v>115.9</v>
      </c>
      <c r="C25" s="18">
        <v>115.9</v>
      </c>
      <c r="D25" s="18">
        <v>134.19999999999999</v>
      </c>
      <c r="E25" s="18">
        <v>97.6</v>
      </c>
      <c r="F25" s="18">
        <v>128.1</v>
      </c>
      <c r="G25" s="18">
        <v>183</v>
      </c>
      <c r="H25" s="18">
        <v>0</v>
      </c>
      <c r="I25" s="18">
        <v>0</v>
      </c>
      <c r="J25" s="18">
        <v>128.1</v>
      </c>
      <c r="K25" s="18">
        <v>122</v>
      </c>
      <c r="L25" s="18">
        <v>115.9</v>
      </c>
      <c r="M25" s="18">
        <v>73.2</v>
      </c>
      <c r="N25" s="18">
        <v>1213.9000000000001</v>
      </c>
      <c r="O25" s="19">
        <v>3.3446488580210483E-3</v>
      </c>
      <c r="P25" s="17"/>
    </row>
    <row r="26" spans="1:16" x14ac:dyDescent="0.25">
      <c r="A26" s="14" t="s">
        <v>53</v>
      </c>
      <c r="B26" s="18">
        <v>0</v>
      </c>
      <c r="C26" s="18">
        <v>0</v>
      </c>
      <c r="D26" s="18">
        <v>0</v>
      </c>
      <c r="E26" s="18">
        <v>0</v>
      </c>
      <c r="F26" s="18">
        <v>1922</v>
      </c>
      <c r="G26" s="18">
        <v>1629</v>
      </c>
      <c r="H26" s="18">
        <v>2741</v>
      </c>
      <c r="I26" s="18">
        <v>2553</v>
      </c>
      <c r="J26" s="18">
        <v>2166</v>
      </c>
      <c r="K26" s="18">
        <v>0</v>
      </c>
      <c r="L26" s="18">
        <v>0</v>
      </c>
      <c r="M26" s="18">
        <v>0</v>
      </c>
      <c r="N26" s="18">
        <v>11011</v>
      </c>
      <c r="O26" s="19">
        <v>3.0338519297857938E-2</v>
      </c>
      <c r="P26" s="17"/>
    </row>
    <row r="27" spans="1:16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7"/>
    </row>
    <row r="28" spans="1:16" x14ac:dyDescent="0.25">
      <c r="A28" s="14" t="s">
        <v>25</v>
      </c>
      <c r="B28" s="18">
        <v>21517.05</v>
      </c>
      <c r="C28" s="18">
        <v>22353.3</v>
      </c>
      <c r="D28" s="18">
        <v>27676</v>
      </c>
      <c r="E28" s="18">
        <v>27910.95</v>
      </c>
      <c r="F28" s="18">
        <v>36294.199999999997</v>
      </c>
      <c r="G28" s="18">
        <v>32809.35</v>
      </c>
      <c r="H28" s="18">
        <v>41217.35</v>
      </c>
      <c r="I28" s="18">
        <v>39954.5</v>
      </c>
      <c r="J28" s="18">
        <v>36114.300000000003</v>
      </c>
      <c r="K28" s="18">
        <v>26769.4</v>
      </c>
      <c r="L28" s="18">
        <v>24661.5</v>
      </c>
      <c r="M28" s="18">
        <v>25660.05</v>
      </c>
      <c r="N28" s="18">
        <v>362937.95</v>
      </c>
      <c r="O28" s="19"/>
      <c r="P28" s="17"/>
    </row>
    <row r="29" spans="1:16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</sheetData>
  <phoneticPr fontId="0" type="noConversion"/>
  <pageMargins left="0.75" right="0.75" top="1" bottom="1" header="0.5" footer="0.5"/>
  <pageSetup scale="52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65"/>
  <sheetViews>
    <sheetView topLeftCell="L19" workbookViewId="0"/>
  </sheetViews>
  <sheetFormatPr defaultRowHeight="15" x14ac:dyDescent="0.25"/>
  <cols>
    <col min="1" max="1" width="21.33203125" bestFit="1" customWidth="1"/>
    <col min="2" max="2" width="20.25" bestFit="1" customWidth="1"/>
    <col min="3" max="6" width="12" bestFit="1" customWidth="1"/>
    <col min="7" max="8" width="13.08203125" bestFit="1" customWidth="1"/>
    <col min="9" max="9" width="12" bestFit="1" customWidth="1"/>
    <col min="10" max="10" width="13.08203125" bestFit="1" customWidth="1"/>
    <col min="11" max="12" width="12" bestFit="1" customWidth="1"/>
    <col min="13" max="13" width="14.08203125" bestFit="1" customWidth="1"/>
    <col min="14" max="14" width="13.08203125" bestFit="1" customWidth="1"/>
    <col min="15" max="16" width="8.75" customWidth="1"/>
  </cols>
  <sheetData>
    <row r="1" spans="1:14" x14ac:dyDescent="0.25">
      <c r="A1" s="13" t="s">
        <v>88</v>
      </c>
    </row>
    <row r="4" spans="1:14" x14ac:dyDescent="0.25">
      <c r="B4" s="13" t="s">
        <v>89</v>
      </c>
      <c r="C4" s="13" t="s">
        <v>90</v>
      </c>
      <c r="D4" s="13" t="s">
        <v>91</v>
      </c>
      <c r="E4" s="13" t="s">
        <v>92</v>
      </c>
      <c r="F4" s="13" t="s">
        <v>93</v>
      </c>
      <c r="G4" s="13" t="s">
        <v>94</v>
      </c>
      <c r="H4" s="13" t="s">
        <v>95</v>
      </c>
      <c r="I4" s="13" t="s">
        <v>96</v>
      </c>
      <c r="J4" s="13" t="s">
        <v>97</v>
      </c>
      <c r="K4" s="13" t="s">
        <v>98</v>
      </c>
      <c r="L4" s="13" t="s">
        <v>99</v>
      </c>
      <c r="M4" s="13" t="s">
        <v>100</v>
      </c>
      <c r="N4" s="13" t="s">
        <v>25</v>
      </c>
    </row>
    <row r="5" spans="1:14" x14ac:dyDescent="0.25">
      <c r="B5" s="13" t="s">
        <v>84</v>
      </c>
    </row>
    <row r="6" spans="1:14" x14ac:dyDescent="0.25">
      <c r="A6" s="22" t="s">
        <v>64</v>
      </c>
      <c r="B6" s="21">
        <v>4215.75</v>
      </c>
      <c r="C6" s="21">
        <v>5029.5</v>
      </c>
      <c r="D6" s="21">
        <v>5848.5</v>
      </c>
      <c r="E6" s="21">
        <v>6567.75</v>
      </c>
      <c r="F6" s="21">
        <v>8415.75</v>
      </c>
      <c r="G6" s="21">
        <v>5260.5</v>
      </c>
      <c r="H6" s="21">
        <v>12085.5</v>
      </c>
      <c r="I6" s="21">
        <v>11145.75</v>
      </c>
      <c r="J6" s="21">
        <v>8888.25</v>
      </c>
      <c r="K6" s="21">
        <v>7124.25</v>
      </c>
      <c r="L6" s="21">
        <v>5759.25</v>
      </c>
      <c r="M6" s="21">
        <v>5549.25</v>
      </c>
      <c r="N6" s="21">
        <v>85890</v>
      </c>
    </row>
    <row r="7" spans="1:14" x14ac:dyDescent="0.25">
      <c r="A7" s="22" t="s">
        <v>65</v>
      </c>
      <c r="B7" s="21">
        <v>1256.25</v>
      </c>
      <c r="C7" s="21">
        <v>1396.25</v>
      </c>
      <c r="D7" s="21">
        <v>1633.75</v>
      </c>
      <c r="E7" s="21">
        <v>1811.25</v>
      </c>
      <c r="F7" s="21">
        <v>2573.75</v>
      </c>
      <c r="G7" s="21">
        <v>2350</v>
      </c>
      <c r="H7" s="21">
        <v>3837.5</v>
      </c>
      <c r="I7" s="21">
        <v>3817.5</v>
      </c>
      <c r="J7" s="21">
        <v>2962.5</v>
      </c>
      <c r="K7" s="21">
        <v>1932.5</v>
      </c>
      <c r="L7" s="21">
        <v>1701.25</v>
      </c>
      <c r="M7" s="21">
        <v>1532.5</v>
      </c>
      <c r="N7" s="21">
        <v>26805</v>
      </c>
    </row>
    <row r="8" spans="1:14" x14ac:dyDescent="0.25">
      <c r="A8" s="22" t="s">
        <v>66</v>
      </c>
      <c r="B8" s="21">
        <v>172</v>
      </c>
      <c r="C8" s="21">
        <v>210.5</v>
      </c>
      <c r="D8" s="21">
        <v>212.5</v>
      </c>
      <c r="E8" s="21">
        <v>327</v>
      </c>
      <c r="F8" s="21">
        <v>351</v>
      </c>
      <c r="G8" s="21">
        <v>362.5</v>
      </c>
      <c r="H8" s="21">
        <v>761</v>
      </c>
      <c r="I8" s="21">
        <v>674.5</v>
      </c>
      <c r="J8" s="21">
        <v>367.5</v>
      </c>
      <c r="K8" s="21">
        <v>250.5</v>
      </c>
      <c r="L8" s="21">
        <v>202</v>
      </c>
      <c r="M8" s="21">
        <v>258</v>
      </c>
      <c r="N8" s="21">
        <v>4149</v>
      </c>
    </row>
    <row r="9" spans="1:14" x14ac:dyDescent="0.25">
      <c r="A9" s="22" t="s">
        <v>9</v>
      </c>
      <c r="B9" s="21">
        <v>8</v>
      </c>
      <c r="C9" s="21">
        <v>22</v>
      </c>
      <c r="D9" s="21">
        <v>20</v>
      </c>
      <c r="E9" s="21">
        <v>28</v>
      </c>
      <c r="F9" s="21">
        <v>34</v>
      </c>
      <c r="G9" s="21">
        <v>12</v>
      </c>
      <c r="H9" s="21">
        <v>28</v>
      </c>
      <c r="I9" s="21">
        <v>40</v>
      </c>
      <c r="J9" s="21">
        <v>62</v>
      </c>
      <c r="K9" s="21">
        <v>20</v>
      </c>
      <c r="L9" s="21">
        <v>12</v>
      </c>
      <c r="M9" s="21">
        <v>8</v>
      </c>
      <c r="N9" s="21">
        <v>294</v>
      </c>
    </row>
    <row r="10" spans="1:14" x14ac:dyDescent="0.25">
      <c r="A10" s="22" t="s">
        <v>68</v>
      </c>
      <c r="B10" s="21">
        <v>8833.75</v>
      </c>
      <c r="C10" s="21">
        <v>9527.5</v>
      </c>
      <c r="D10" s="21">
        <v>11146.25</v>
      </c>
      <c r="E10" s="21">
        <v>10637.5</v>
      </c>
      <c r="F10" s="21">
        <v>12811.25</v>
      </c>
      <c r="G10" s="21">
        <v>7446.25</v>
      </c>
      <c r="H10" s="21">
        <v>11285</v>
      </c>
      <c r="I10" s="21">
        <v>11701.25</v>
      </c>
      <c r="J10" s="21">
        <v>9342.5</v>
      </c>
      <c r="K10" s="21">
        <v>11100</v>
      </c>
      <c r="L10" s="21">
        <v>10961.25</v>
      </c>
      <c r="M10" s="21">
        <v>10221.25</v>
      </c>
      <c r="N10" s="21">
        <v>125013.75</v>
      </c>
    </row>
    <row r="11" spans="1:14" x14ac:dyDescent="0.25">
      <c r="A11" s="22" t="s">
        <v>69</v>
      </c>
      <c r="B11" s="21">
        <v>1216.8</v>
      </c>
      <c r="C11" s="21">
        <v>1250.5999999999999</v>
      </c>
      <c r="D11" s="21">
        <v>1453.4</v>
      </c>
      <c r="E11" s="21">
        <v>1723.8</v>
      </c>
      <c r="F11" s="21">
        <v>2501.1999999999998</v>
      </c>
      <c r="G11" s="21">
        <v>1385.8</v>
      </c>
      <c r="H11" s="21">
        <v>2264.6</v>
      </c>
      <c r="I11" s="21">
        <v>2366</v>
      </c>
      <c r="J11" s="21">
        <v>1588.6</v>
      </c>
      <c r="K11" s="21">
        <v>1656.2</v>
      </c>
      <c r="L11" s="21">
        <v>1250.5999999999999</v>
      </c>
      <c r="M11" s="21">
        <v>1554.8</v>
      </c>
      <c r="N11" s="21">
        <v>20212.400000000001</v>
      </c>
    </row>
    <row r="12" spans="1:14" x14ac:dyDescent="0.25">
      <c r="A12" s="22" t="s">
        <v>70</v>
      </c>
      <c r="B12" s="21">
        <v>1406.25</v>
      </c>
      <c r="C12" s="21">
        <v>1462.5</v>
      </c>
      <c r="D12" s="21">
        <v>1725</v>
      </c>
      <c r="E12" s="21">
        <v>1893.75</v>
      </c>
      <c r="F12" s="21">
        <v>2437.5</v>
      </c>
      <c r="G12" s="21">
        <v>3618.75</v>
      </c>
      <c r="H12" s="21">
        <v>2475</v>
      </c>
      <c r="I12" s="21">
        <v>2868.75</v>
      </c>
      <c r="J12" s="21">
        <v>1781.25</v>
      </c>
      <c r="K12" s="21">
        <v>1837.5</v>
      </c>
      <c r="L12" s="21">
        <v>1593.75</v>
      </c>
      <c r="M12" s="21">
        <v>1687.5</v>
      </c>
      <c r="N12" s="21">
        <v>24787.5</v>
      </c>
    </row>
    <row r="13" spans="1:14" x14ac:dyDescent="0.25">
      <c r="A13" s="22" t="s">
        <v>71</v>
      </c>
      <c r="B13" s="21">
        <v>125</v>
      </c>
      <c r="C13" s="21">
        <v>143.75</v>
      </c>
      <c r="D13" s="21">
        <v>106.25</v>
      </c>
      <c r="E13" s="21">
        <v>175</v>
      </c>
      <c r="F13" s="21">
        <v>200</v>
      </c>
      <c r="G13" s="21">
        <v>237.5</v>
      </c>
      <c r="H13" s="21">
        <v>343.75</v>
      </c>
      <c r="I13" s="21">
        <v>293.75</v>
      </c>
      <c r="J13" s="21">
        <v>112.5</v>
      </c>
      <c r="K13" s="21">
        <v>143.75</v>
      </c>
      <c r="L13" s="21">
        <v>93.75</v>
      </c>
      <c r="M13" s="21">
        <v>100</v>
      </c>
      <c r="N13" s="21">
        <v>2075</v>
      </c>
    </row>
    <row r="14" spans="1:14" x14ac:dyDescent="0.25">
      <c r="A14" s="22" t="s">
        <v>45</v>
      </c>
      <c r="B14" s="21">
        <v>329</v>
      </c>
      <c r="C14" s="21">
        <v>448</v>
      </c>
      <c r="D14" s="21">
        <v>413</v>
      </c>
      <c r="E14" s="21">
        <v>595</v>
      </c>
      <c r="F14" s="21">
        <v>455</v>
      </c>
      <c r="G14" s="21">
        <v>483</v>
      </c>
      <c r="H14" s="21">
        <v>574</v>
      </c>
      <c r="I14" s="21">
        <v>1106</v>
      </c>
      <c r="J14" s="21">
        <v>924</v>
      </c>
      <c r="K14" s="21">
        <v>595</v>
      </c>
      <c r="L14" s="21">
        <v>469</v>
      </c>
      <c r="M14" s="21">
        <v>763</v>
      </c>
      <c r="N14" s="21">
        <v>7154</v>
      </c>
    </row>
    <row r="15" spans="1:14" x14ac:dyDescent="0.25">
      <c r="A15" s="22" t="s">
        <v>46</v>
      </c>
      <c r="B15" s="21">
        <v>180</v>
      </c>
      <c r="C15" s="21">
        <v>207</v>
      </c>
      <c r="D15" s="21">
        <v>306</v>
      </c>
      <c r="E15" s="21">
        <v>441</v>
      </c>
      <c r="F15" s="21">
        <v>657</v>
      </c>
      <c r="G15" s="21">
        <v>351</v>
      </c>
      <c r="H15" s="21">
        <v>558</v>
      </c>
      <c r="I15" s="21">
        <v>540</v>
      </c>
      <c r="J15" s="21">
        <v>504</v>
      </c>
      <c r="K15" s="21">
        <v>378</v>
      </c>
      <c r="L15" s="21">
        <v>450</v>
      </c>
      <c r="M15" s="21">
        <v>423</v>
      </c>
      <c r="N15" s="21">
        <v>4995</v>
      </c>
    </row>
    <row r="16" spans="1:14" x14ac:dyDescent="0.25">
      <c r="A16" s="22" t="s">
        <v>47</v>
      </c>
      <c r="B16" s="21">
        <v>157.5</v>
      </c>
      <c r="C16" s="21">
        <v>220.5</v>
      </c>
      <c r="D16" s="21">
        <v>294</v>
      </c>
      <c r="E16" s="21">
        <v>199.5</v>
      </c>
      <c r="F16" s="21">
        <v>336</v>
      </c>
      <c r="G16" s="21">
        <v>504</v>
      </c>
      <c r="H16" s="21">
        <v>483</v>
      </c>
      <c r="I16" s="21">
        <v>514.5</v>
      </c>
      <c r="J16" s="21">
        <v>325.5</v>
      </c>
      <c r="K16" s="21">
        <v>420</v>
      </c>
      <c r="L16" s="21">
        <v>231</v>
      </c>
      <c r="M16" s="21">
        <v>210</v>
      </c>
      <c r="N16" s="21">
        <v>3895.5</v>
      </c>
    </row>
    <row r="17" spans="1:14" x14ac:dyDescent="0.25">
      <c r="A17" s="22" t="s">
        <v>48</v>
      </c>
      <c r="B17" s="21">
        <v>56</v>
      </c>
      <c r="C17" s="21">
        <v>252</v>
      </c>
      <c r="D17" s="21">
        <v>224</v>
      </c>
      <c r="E17" s="21">
        <v>224</v>
      </c>
      <c r="F17" s="21">
        <v>336</v>
      </c>
      <c r="G17" s="21">
        <v>462</v>
      </c>
      <c r="H17" s="21">
        <v>812</v>
      </c>
      <c r="I17" s="21">
        <v>532</v>
      </c>
      <c r="J17" s="21">
        <v>672</v>
      </c>
      <c r="K17" s="21">
        <v>420</v>
      </c>
      <c r="L17" s="21">
        <v>364</v>
      </c>
      <c r="M17" s="21">
        <v>154</v>
      </c>
      <c r="N17" s="21">
        <v>4508</v>
      </c>
    </row>
    <row r="18" spans="1:14" x14ac:dyDescent="0.25">
      <c r="A18" s="22" t="s">
        <v>49</v>
      </c>
      <c r="B18" s="21">
        <v>90</v>
      </c>
      <c r="C18" s="21">
        <v>54</v>
      </c>
      <c r="D18" s="21">
        <v>180</v>
      </c>
      <c r="E18" s="21">
        <v>54</v>
      </c>
      <c r="F18" s="21">
        <v>198</v>
      </c>
      <c r="G18" s="21">
        <v>108</v>
      </c>
      <c r="H18" s="21">
        <v>144</v>
      </c>
      <c r="I18" s="21">
        <v>216</v>
      </c>
      <c r="J18" s="21">
        <v>216</v>
      </c>
      <c r="K18" s="21">
        <v>72</v>
      </c>
      <c r="L18" s="21">
        <v>234</v>
      </c>
      <c r="M18" s="21">
        <v>90</v>
      </c>
      <c r="N18" s="21">
        <v>1656</v>
      </c>
    </row>
    <row r="19" spans="1:14" x14ac:dyDescent="0.25">
      <c r="A19" s="22" t="s">
        <v>50</v>
      </c>
      <c r="B19" s="21">
        <v>100</v>
      </c>
      <c r="C19" s="21">
        <v>25</v>
      </c>
      <c r="D19" s="21">
        <v>150</v>
      </c>
      <c r="E19" s="21">
        <v>225</v>
      </c>
      <c r="F19" s="21">
        <v>450</v>
      </c>
      <c r="G19" s="21">
        <v>275</v>
      </c>
      <c r="H19" s="21">
        <v>150</v>
      </c>
      <c r="I19" s="21">
        <v>375</v>
      </c>
      <c r="J19" s="21">
        <v>300</v>
      </c>
      <c r="K19" s="21">
        <v>150</v>
      </c>
      <c r="L19" s="21">
        <v>325</v>
      </c>
      <c r="M19" s="21">
        <v>600</v>
      </c>
      <c r="N19" s="21">
        <v>3125</v>
      </c>
    </row>
    <row r="20" spans="1:14" x14ac:dyDescent="0.25">
      <c r="A20" s="22" t="s">
        <v>51</v>
      </c>
      <c r="B20" s="21"/>
      <c r="C20" s="21"/>
      <c r="D20" s="21">
        <v>100</v>
      </c>
      <c r="E20" s="21"/>
      <c r="F20" s="21"/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75</v>
      </c>
      <c r="M20" s="21">
        <v>75</v>
      </c>
      <c r="N20" s="21">
        <v>250</v>
      </c>
    </row>
    <row r="21" spans="1:14" x14ac:dyDescent="0.25">
      <c r="A21" s="22" t="s">
        <v>7</v>
      </c>
      <c r="B21" s="21">
        <v>225</v>
      </c>
      <c r="C21" s="21">
        <v>425</v>
      </c>
      <c r="D21" s="21">
        <v>150</v>
      </c>
      <c r="E21" s="21">
        <v>600</v>
      </c>
      <c r="F21" s="21">
        <v>250</v>
      </c>
      <c r="G21" s="21">
        <v>250</v>
      </c>
      <c r="H21" s="21">
        <v>375</v>
      </c>
      <c r="I21" s="21">
        <v>400</v>
      </c>
      <c r="J21" s="21">
        <v>850</v>
      </c>
      <c r="K21" s="21">
        <v>1100</v>
      </c>
      <c r="L21" s="21">
        <v>1100</v>
      </c>
      <c r="M21" s="21">
        <v>1675</v>
      </c>
      <c r="N21" s="21">
        <v>7400</v>
      </c>
    </row>
    <row r="22" spans="1:14" x14ac:dyDescent="0.25">
      <c r="A22" s="22" t="s">
        <v>74</v>
      </c>
      <c r="B22" s="21">
        <v>14</v>
      </c>
      <c r="C22" s="21">
        <v>38.5</v>
      </c>
      <c r="D22" s="21">
        <v>59.5</v>
      </c>
      <c r="E22" s="21">
        <v>38.5</v>
      </c>
      <c r="F22" s="21">
        <v>77</v>
      </c>
      <c r="G22" s="21">
        <v>66.5</v>
      </c>
      <c r="H22" s="21">
        <v>105</v>
      </c>
      <c r="I22" s="21">
        <v>70</v>
      </c>
      <c r="J22" s="21">
        <v>24.5</v>
      </c>
      <c r="K22" s="21">
        <v>42</v>
      </c>
      <c r="L22" s="21">
        <v>42</v>
      </c>
      <c r="M22" s="21">
        <v>42</v>
      </c>
      <c r="N22" s="21">
        <v>619.5</v>
      </c>
    </row>
    <row r="23" spans="1:14" x14ac:dyDescent="0.25">
      <c r="A23" s="22" t="s">
        <v>43</v>
      </c>
      <c r="B23" s="21">
        <v>26.25</v>
      </c>
      <c r="C23" s="21">
        <v>47.25</v>
      </c>
      <c r="D23" s="21">
        <v>115.5</v>
      </c>
      <c r="E23" s="21">
        <v>78.75</v>
      </c>
      <c r="F23" s="21">
        <v>199.5</v>
      </c>
      <c r="G23" s="21">
        <v>105</v>
      </c>
      <c r="H23" s="21">
        <v>241.5</v>
      </c>
      <c r="I23" s="21">
        <v>178.5</v>
      </c>
      <c r="J23" s="21">
        <v>147</v>
      </c>
      <c r="K23" s="21">
        <v>115.5</v>
      </c>
      <c r="L23" s="21">
        <v>84</v>
      </c>
      <c r="M23" s="21">
        <v>31.5</v>
      </c>
      <c r="N23" s="21">
        <v>1370.25</v>
      </c>
    </row>
    <row r="24" spans="1:14" x14ac:dyDescent="0.25">
      <c r="A24" s="22" t="s">
        <v>44</v>
      </c>
      <c r="B24" s="21">
        <v>5.25</v>
      </c>
      <c r="C24" s="21"/>
      <c r="D24" s="21">
        <v>21</v>
      </c>
      <c r="E24" s="21"/>
      <c r="F24" s="21">
        <v>31.5</v>
      </c>
      <c r="G24" s="21">
        <v>21</v>
      </c>
      <c r="H24" s="21">
        <v>63</v>
      </c>
      <c r="I24" s="21">
        <v>47.25</v>
      </c>
      <c r="J24" s="21">
        <v>47.25</v>
      </c>
      <c r="K24" s="21">
        <v>26.25</v>
      </c>
      <c r="L24" s="21">
        <v>26.25</v>
      </c>
      <c r="M24" s="21">
        <v>36.75</v>
      </c>
      <c r="N24" s="21">
        <v>325.5</v>
      </c>
    </row>
    <row r="25" spans="1:14" x14ac:dyDescent="0.25">
      <c r="A25" s="22" t="s">
        <v>11</v>
      </c>
      <c r="B25" s="21">
        <v>4</v>
      </c>
      <c r="C25" s="21">
        <v>2</v>
      </c>
      <c r="D25" s="21">
        <v>23.5</v>
      </c>
      <c r="E25" s="21"/>
      <c r="F25" s="21">
        <v>13</v>
      </c>
      <c r="G25" s="21">
        <v>10</v>
      </c>
      <c r="H25" s="21">
        <v>29.5</v>
      </c>
      <c r="I25" s="21">
        <v>12.5</v>
      </c>
      <c r="J25" s="21">
        <v>20.5</v>
      </c>
      <c r="K25" s="21">
        <v>9.5</v>
      </c>
      <c r="L25" s="21">
        <v>13</v>
      </c>
      <c r="M25" s="21">
        <v>20.5</v>
      </c>
      <c r="N25" s="21">
        <v>158</v>
      </c>
    </row>
    <row r="26" spans="1:14" x14ac:dyDescent="0.25">
      <c r="A26" s="22" t="s">
        <v>75</v>
      </c>
      <c r="B26" s="21">
        <v>243.5</v>
      </c>
      <c r="C26" s="21">
        <v>368</v>
      </c>
      <c r="D26" s="21">
        <v>104</v>
      </c>
      <c r="E26" s="21">
        <v>289</v>
      </c>
      <c r="F26" s="21">
        <v>733</v>
      </c>
      <c r="G26" s="21">
        <v>469.5</v>
      </c>
      <c r="H26" s="21">
        <v>101</v>
      </c>
      <c r="I26" s="21">
        <v>15</v>
      </c>
      <c r="J26" s="21">
        <v>958</v>
      </c>
      <c r="K26" s="21">
        <v>594</v>
      </c>
      <c r="L26" s="21">
        <v>226</v>
      </c>
      <c r="M26" s="21">
        <v>519</v>
      </c>
      <c r="N26" s="21">
        <v>4620</v>
      </c>
    </row>
    <row r="27" spans="1:14" x14ac:dyDescent="0.25">
      <c r="A27" s="22" t="s">
        <v>81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v>0</v>
      </c>
    </row>
    <row r="28" spans="1:14" x14ac:dyDescent="0.25">
      <c r="A28" s="22" t="s">
        <v>82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>
        <v>0</v>
      </c>
    </row>
    <row r="29" spans="1:14" x14ac:dyDescent="0.25">
      <c r="A29" s="22" t="s">
        <v>83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>
        <v>0</v>
      </c>
    </row>
    <row r="30" spans="1:14" x14ac:dyDescent="0.25">
      <c r="A30" s="22" t="s">
        <v>52</v>
      </c>
      <c r="B30" s="21">
        <v>109.8</v>
      </c>
      <c r="C30" s="21">
        <v>115.9</v>
      </c>
      <c r="D30" s="21">
        <v>134.19999999999999</v>
      </c>
      <c r="E30" s="21">
        <v>103.7</v>
      </c>
      <c r="F30" s="21">
        <v>122</v>
      </c>
      <c r="G30" s="21">
        <v>54.9</v>
      </c>
      <c r="H30" s="21">
        <v>0</v>
      </c>
      <c r="I30" s="21">
        <v>0</v>
      </c>
      <c r="J30" s="21">
        <v>122</v>
      </c>
      <c r="K30" s="21">
        <v>128.1</v>
      </c>
      <c r="L30" s="21">
        <v>115.9</v>
      </c>
      <c r="M30" s="21">
        <v>79.3</v>
      </c>
      <c r="N30" s="21">
        <v>1085.8</v>
      </c>
    </row>
    <row r="31" spans="1:14" x14ac:dyDescent="0.25">
      <c r="A31" s="22" t="s">
        <v>13</v>
      </c>
      <c r="B31" s="21"/>
      <c r="C31" s="21"/>
      <c r="D31" s="21"/>
      <c r="E31" s="21"/>
      <c r="F31" s="21">
        <v>1836</v>
      </c>
      <c r="G31" s="21">
        <v>1219</v>
      </c>
      <c r="H31" s="21">
        <v>2578</v>
      </c>
      <c r="I31" s="21">
        <v>2471</v>
      </c>
      <c r="J31" s="21">
        <v>2017</v>
      </c>
      <c r="K31" s="21"/>
      <c r="L31" s="21"/>
      <c r="M31" s="21"/>
      <c r="N31" s="21">
        <v>10121</v>
      </c>
    </row>
    <row r="32" spans="1:14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5" x14ac:dyDescent="0.25">
      <c r="A33" s="13" t="s">
        <v>25</v>
      </c>
      <c r="B33" s="21">
        <v>18774.099999999999</v>
      </c>
      <c r="C33" s="21">
        <v>21245.75</v>
      </c>
      <c r="D33" s="21">
        <v>24420.35</v>
      </c>
      <c r="E33" s="21">
        <v>26012.5</v>
      </c>
      <c r="F33" s="21">
        <v>35018.449999999997</v>
      </c>
      <c r="G33" s="21">
        <v>25052.2</v>
      </c>
      <c r="H33" s="21">
        <v>39294.35</v>
      </c>
      <c r="I33" s="21">
        <v>39385.25</v>
      </c>
      <c r="J33" s="21">
        <v>32232.85</v>
      </c>
      <c r="K33" s="21">
        <v>28115.05</v>
      </c>
      <c r="L33" s="21">
        <v>25329</v>
      </c>
      <c r="M33" s="21">
        <v>25630.35</v>
      </c>
      <c r="N33" s="21">
        <v>340510.2</v>
      </c>
      <c r="O33">
        <v>0</v>
      </c>
    </row>
    <row r="34" spans="1:15" x14ac:dyDescent="0.25">
      <c r="N34" s="21"/>
    </row>
    <row r="35" spans="1:15" x14ac:dyDescent="0.25">
      <c r="N35" s="21"/>
    </row>
    <row r="36" spans="1:15" x14ac:dyDescent="0.25">
      <c r="B36" s="13" t="s">
        <v>85</v>
      </c>
      <c r="N36" s="21"/>
    </row>
    <row r="38" spans="1:15" x14ac:dyDescent="0.25">
      <c r="A38" s="22" t="s">
        <v>64</v>
      </c>
      <c r="B38" s="23">
        <v>803</v>
      </c>
      <c r="C38" s="23">
        <v>958</v>
      </c>
      <c r="D38" s="23">
        <v>1114</v>
      </c>
      <c r="E38" s="23">
        <v>1251</v>
      </c>
      <c r="F38" s="23">
        <v>1606</v>
      </c>
      <c r="G38" s="23"/>
      <c r="H38" s="23"/>
      <c r="I38" s="23"/>
      <c r="J38" s="23"/>
      <c r="K38" s="23"/>
      <c r="L38" s="23"/>
      <c r="M38" s="23"/>
      <c r="N38" s="23"/>
    </row>
    <row r="39" spans="1:15" x14ac:dyDescent="0.25">
      <c r="A39" s="22" t="s">
        <v>65</v>
      </c>
      <c r="B39" s="23">
        <v>1005</v>
      </c>
      <c r="C39" s="23">
        <v>1117</v>
      </c>
      <c r="D39" s="23">
        <v>1307</v>
      </c>
      <c r="E39" s="23">
        <v>1449</v>
      </c>
      <c r="F39" s="23">
        <v>2059</v>
      </c>
      <c r="G39" s="23"/>
      <c r="H39" s="23"/>
      <c r="I39" s="23"/>
      <c r="J39" s="23"/>
      <c r="K39" s="23"/>
      <c r="L39" s="23"/>
      <c r="M39" s="23"/>
      <c r="N39" s="23"/>
    </row>
    <row r="40" spans="1:15" x14ac:dyDescent="0.25">
      <c r="A40" s="22" t="s">
        <v>66</v>
      </c>
      <c r="B40" s="23">
        <v>344</v>
      </c>
      <c r="C40" s="23">
        <v>421</v>
      </c>
      <c r="D40" s="23">
        <v>425</v>
      </c>
      <c r="E40" s="23">
        <v>654</v>
      </c>
      <c r="F40" s="23">
        <v>702</v>
      </c>
      <c r="G40" s="23"/>
      <c r="H40" s="23"/>
      <c r="I40" s="23"/>
      <c r="J40" s="23"/>
      <c r="K40" s="23"/>
      <c r="L40" s="23"/>
      <c r="M40" s="23"/>
      <c r="N40" s="23"/>
    </row>
    <row r="41" spans="1:15" x14ac:dyDescent="0.25">
      <c r="A41" s="22" t="s">
        <v>9</v>
      </c>
      <c r="B41" s="23">
        <v>4</v>
      </c>
      <c r="C41" s="23">
        <v>11</v>
      </c>
      <c r="D41" s="23">
        <v>10</v>
      </c>
      <c r="E41" s="23">
        <v>14</v>
      </c>
      <c r="F41" s="23">
        <v>17</v>
      </c>
      <c r="G41" s="23"/>
      <c r="H41" s="23"/>
      <c r="I41" s="23"/>
      <c r="J41" s="23"/>
      <c r="K41" s="23"/>
      <c r="L41" s="23"/>
      <c r="M41" s="23"/>
      <c r="N41" s="23"/>
    </row>
    <row r="42" spans="1:15" x14ac:dyDescent="0.25">
      <c r="A42" s="22" t="s">
        <v>68</v>
      </c>
      <c r="B42" s="23">
        <v>4775</v>
      </c>
      <c r="C42" s="23">
        <v>5150</v>
      </c>
      <c r="D42" s="23">
        <v>6025</v>
      </c>
      <c r="E42" s="23">
        <v>5750</v>
      </c>
      <c r="F42" s="23">
        <v>6925</v>
      </c>
      <c r="G42" s="23"/>
      <c r="H42" s="23"/>
      <c r="I42" s="23"/>
      <c r="J42" s="23"/>
      <c r="K42" s="23"/>
      <c r="L42" s="23"/>
      <c r="M42" s="23"/>
      <c r="N42" s="23"/>
    </row>
    <row r="43" spans="1:15" x14ac:dyDescent="0.25">
      <c r="A43" s="22" t="s">
        <v>69</v>
      </c>
      <c r="B43" s="23">
        <v>468</v>
      </c>
      <c r="C43" s="23">
        <v>481</v>
      </c>
      <c r="D43" s="23">
        <v>559</v>
      </c>
      <c r="E43" s="23">
        <v>663</v>
      </c>
      <c r="F43" s="23">
        <v>962</v>
      </c>
      <c r="G43" s="23"/>
      <c r="H43" s="23"/>
      <c r="I43" s="23"/>
      <c r="J43" s="23"/>
      <c r="K43" s="23"/>
      <c r="L43" s="23"/>
      <c r="M43" s="23"/>
      <c r="N43" s="23"/>
    </row>
    <row r="44" spans="1:15" x14ac:dyDescent="0.25">
      <c r="A44" s="22" t="s">
        <v>70</v>
      </c>
      <c r="B44" s="23">
        <v>1875</v>
      </c>
      <c r="C44" s="23">
        <v>1950</v>
      </c>
      <c r="D44" s="23">
        <v>2300</v>
      </c>
      <c r="E44" s="23">
        <v>2525</v>
      </c>
      <c r="F44" s="23">
        <v>3250</v>
      </c>
      <c r="G44" s="23"/>
      <c r="H44" s="23"/>
      <c r="I44" s="23"/>
      <c r="J44" s="23"/>
      <c r="K44" s="23"/>
      <c r="L44" s="23"/>
      <c r="M44" s="23"/>
      <c r="N44" s="23"/>
    </row>
    <row r="45" spans="1:15" x14ac:dyDescent="0.25">
      <c r="A45" s="22" t="s">
        <v>71</v>
      </c>
      <c r="B45" s="23">
        <v>500</v>
      </c>
      <c r="C45" s="23">
        <v>575</v>
      </c>
      <c r="D45" s="23">
        <v>425</v>
      </c>
      <c r="E45" s="23">
        <v>700</v>
      </c>
      <c r="F45" s="23">
        <v>800</v>
      </c>
      <c r="G45" s="23"/>
      <c r="H45" s="23"/>
      <c r="I45" s="23"/>
      <c r="J45" s="23"/>
      <c r="K45" s="23"/>
      <c r="L45" s="23"/>
      <c r="M45" s="23"/>
      <c r="N45" s="23"/>
    </row>
    <row r="46" spans="1:15" x14ac:dyDescent="0.25">
      <c r="A46" s="22" t="s">
        <v>45</v>
      </c>
      <c r="B46" s="23">
        <v>47</v>
      </c>
      <c r="C46" s="23">
        <v>64</v>
      </c>
      <c r="D46" s="23">
        <v>59</v>
      </c>
      <c r="E46" s="23">
        <v>86</v>
      </c>
      <c r="F46" s="23">
        <v>66</v>
      </c>
      <c r="G46" s="23"/>
      <c r="H46" s="23"/>
      <c r="I46" s="23"/>
      <c r="J46" s="23"/>
      <c r="K46" s="23"/>
      <c r="L46" s="23"/>
      <c r="M46" s="23"/>
      <c r="N46" s="23"/>
    </row>
    <row r="47" spans="1:15" x14ac:dyDescent="0.25">
      <c r="A47" s="22" t="s">
        <v>46</v>
      </c>
      <c r="B47" s="23">
        <v>20</v>
      </c>
      <c r="C47" s="23">
        <v>23</v>
      </c>
      <c r="D47" s="23">
        <v>34</v>
      </c>
      <c r="E47" s="23">
        <v>49</v>
      </c>
      <c r="F47" s="23">
        <v>73</v>
      </c>
      <c r="G47" s="23"/>
      <c r="H47" s="23"/>
      <c r="I47" s="23"/>
      <c r="J47" s="23"/>
      <c r="K47" s="23"/>
      <c r="L47" s="23"/>
      <c r="M47" s="23"/>
      <c r="N47" s="23"/>
    </row>
    <row r="48" spans="1:15" x14ac:dyDescent="0.25">
      <c r="A48" s="22" t="s">
        <v>47</v>
      </c>
      <c r="B48" s="23">
        <v>15</v>
      </c>
      <c r="C48" s="23">
        <v>21</v>
      </c>
      <c r="D48" s="23">
        <v>28</v>
      </c>
      <c r="E48" s="23">
        <v>19</v>
      </c>
      <c r="F48" s="23">
        <v>32</v>
      </c>
      <c r="G48" s="23"/>
      <c r="H48" s="23"/>
      <c r="I48" s="23"/>
      <c r="J48" s="23"/>
      <c r="K48" s="23"/>
      <c r="L48" s="23"/>
      <c r="M48" s="23"/>
      <c r="N48" s="23"/>
    </row>
    <row r="49" spans="1:14" x14ac:dyDescent="0.25">
      <c r="A49" s="22" t="s">
        <v>48</v>
      </c>
      <c r="B49" s="23">
        <v>4</v>
      </c>
      <c r="C49" s="23">
        <v>18</v>
      </c>
      <c r="D49" s="23">
        <v>16</v>
      </c>
      <c r="E49" s="23">
        <v>16</v>
      </c>
      <c r="F49" s="23">
        <v>24</v>
      </c>
      <c r="G49" s="23"/>
      <c r="H49" s="23"/>
      <c r="I49" s="23"/>
      <c r="J49" s="23"/>
      <c r="K49" s="23"/>
      <c r="L49" s="23"/>
      <c r="M49" s="23"/>
      <c r="N49" s="23"/>
    </row>
    <row r="50" spans="1:14" x14ac:dyDescent="0.25">
      <c r="A50" s="22" t="s">
        <v>49</v>
      </c>
      <c r="B50" s="23">
        <v>5</v>
      </c>
      <c r="C50" s="23">
        <v>3</v>
      </c>
      <c r="D50" s="23">
        <v>10</v>
      </c>
      <c r="E50" s="23">
        <v>3</v>
      </c>
      <c r="F50" s="23">
        <v>11</v>
      </c>
      <c r="G50" s="23"/>
      <c r="H50" s="23"/>
      <c r="I50" s="23"/>
      <c r="J50" s="23"/>
      <c r="K50" s="23"/>
      <c r="L50" s="23"/>
      <c r="M50" s="23"/>
      <c r="N50" s="23"/>
    </row>
    <row r="51" spans="1:14" x14ac:dyDescent="0.25">
      <c r="A51" s="22" t="s">
        <v>50</v>
      </c>
      <c r="B51" s="23">
        <v>4</v>
      </c>
      <c r="C51" s="23">
        <v>1</v>
      </c>
      <c r="D51" s="23">
        <v>6</v>
      </c>
      <c r="E51" s="23">
        <v>9</v>
      </c>
      <c r="F51" s="23">
        <v>18</v>
      </c>
      <c r="G51" s="23"/>
      <c r="H51" s="23"/>
      <c r="I51" s="23"/>
      <c r="J51" s="23"/>
      <c r="K51" s="23"/>
      <c r="L51" s="23"/>
      <c r="M51" s="23"/>
      <c r="N51" s="23"/>
    </row>
    <row r="52" spans="1:14" x14ac:dyDescent="0.25">
      <c r="A52" s="22" t="s">
        <v>51</v>
      </c>
      <c r="B52" s="23"/>
      <c r="C52" s="23"/>
      <c r="D52" s="23">
        <v>4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x14ac:dyDescent="0.25">
      <c r="A53" s="22" t="s">
        <v>7</v>
      </c>
      <c r="B53" s="23">
        <v>9</v>
      </c>
      <c r="C53" s="23">
        <v>17</v>
      </c>
      <c r="D53" s="23">
        <v>6</v>
      </c>
      <c r="E53" s="23">
        <v>24</v>
      </c>
      <c r="F53" s="23">
        <v>10</v>
      </c>
      <c r="G53" s="23"/>
      <c r="H53" s="23"/>
      <c r="I53" s="23"/>
      <c r="J53" s="23"/>
      <c r="K53" s="23"/>
      <c r="L53" s="23"/>
      <c r="M53" s="23"/>
      <c r="N53" s="23"/>
    </row>
    <row r="54" spans="1:14" x14ac:dyDescent="0.25">
      <c r="A54" s="22" t="s">
        <v>74</v>
      </c>
      <c r="B54" s="23">
        <v>4</v>
      </c>
      <c r="C54" s="23">
        <v>11</v>
      </c>
      <c r="D54" s="23">
        <v>17</v>
      </c>
      <c r="E54" s="23">
        <v>11</v>
      </c>
      <c r="F54" s="23">
        <v>22</v>
      </c>
      <c r="G54" s="23"/>
      <c r="H54" s="23"/>
      <c r="I54" s="23"/>
      <c r="J54" s="23"/>
      <c r="K54" s="23"/>
      <c r="L54" s="23"/>
      <c r="M54" s="23"/>
      <c r="N54" s="23"/>
    </row>
    <row r="55" spans="1:14" x14ac:dyDescent="0.25">
      <c r="A55" s="22" t="s">
        <v>43</v>
      </c>
      <c r="B55" s="23">
        <v>5</v>
      </c>
      <c r="C55" s="23">
        <v>9</v>
      </c>
      <c r="D55" s="23">
        <v>22</v>
      </c>
      <c r="E55" s="23">
        <v>15</v>
      </c>
      <c r="F55" s="23">
        <v>38</v>
      </c>
      <c r="G55" s="23"/>
      <c r="H55" s="23"/>
      <c r="I55" s="23"/>
      <c r="J55" s="23"/>
      <c r="K55" s="23"/>
      <c r="L55" s="23"/>
      <c r="M55" s="23"/>
      <c r="N55" s="23"/>
    </row>
    <row r="56" spans="1:14" x14ac:dyDescent="0.25">
      <c r="A56" s="22" t="s">
        <v>44</v>
      </c>
      <c r="B56" s="23">
        <v>1</v>
      </c>
      <c r="C56" s="23"/>
      <c r="D56" s="23">
        <v>4</v>
      </c>
      <c r="E56" s="23"/>
      <c r="F56" s="23">
        <v>6</v>
      </c>
      <c r="G56" s="23"/>
      <c r="H56" s="23"/>
      <c r="I56" s="23"/>
      <c r="J56" s="23"/>
      <c r="K56" s="23"/>
      <c r="L56" s="23"/>
      <c r="M56" s="23"/>
      <c r="N56" s="23"/>
    </row>
    <row r="57" spans="1:14" x14ac:dyDescent="0.25">
      <c r="A57" s="22" t="s">
        <v>11</v>
      </c>
      <c r="B57" s="23">
        <v>8</v>
      </c>
      <c r="C57" s="23">
        <v>4</v>
      </c>
      <c r="D57" s="23">
        <v>47</v>
      </c>
      <c r="E57" s="23"/>
      <c r="F57" s="23">
        <v>26</v>
      </c>
      <c r="G57" s="23"/>
      <c r="H57" s="23"/>
      <c r="I57" s="23"/>
      <c r="J57" s="23"/>
      <c r="K57" s="23"/>
      <c r="L57" s="23"/>
      <c r="M57" s="23"/>
      <c r="N57" s="23"/>
    </row>
    <row r="58" spans="1:14" x14ac:dyDescent="0.25">
      <c r="A58" s="22" t="s">
        <v>75</v>
      </c>
      <c r="B58" s="23">
        <v>3</v>
      </c>
      <c r="C58" s="23">
        <v>3</v>
      </c>
      <c r="D58" s="23">
        <v>4</v>
      </c>
      <c r="E58" s="23">
        <v>8</v>
      </c>
      <c r="F58" s="23">
        <v>6</v>
      </c>
      <c r="G58" s="23"/>
      <c r="H58" s="23"/>
      <c r="I58" s="23"/>
      <c r="J58" s="23"/>
      <c r="K58" s="23"/>
      <c r="L58" s="23"/>
      <c r="M58" s="23"/>
      <c r="N58" s="23"/>
    </row>
    <row r="59" spans="1:14" x14ac:dyDescent="0.25">
      <c r="A59" s="22" t="s">
        <v>81</v>
      </c>
      <c r="B59" s="23">
        <v>613</v>
      </c>
      <c r="C59" s="23">
        <v>582</v>
      </c>
      <c r="D59" s="23">
        <v>652</v>
      </c>
      <c r="E59" s="23">
        <v>659</v>
      </c>
      <c r="F59" s="23">
        <v>706</v>
      </c>
      <c r="G59" s="23"/>
      <c r="H59" s="23"/>
      <c r="I59" s="23"/>
      <c r="J59" s="23"/>
      <c r="K59" s="23"/>
      <c r="L59" s="23"/>
      <c r="M59" s="23"/>
      <c r="N59" s="23"/>
    </row>
    <row r="60" spans="1:14" x14ac:dyDescent="0.25">
      <c r="A60" s="22" t="s">
        <v>82</v>
      </c>
      <c r="B60" s="23">
        <v>310</v>
      </c>
      <c r="C60" s="23">
        <v>381</v>
      </c>
      <c r="D60" s="23">
        <v>407</v>
      </c>
      <c r="E60" s="23">
        <v>405</v>
      </c>
      <c r="F60" s="23">
        <v>557</v>
      </c>
      <c r="G60" s="23"/>
      <c r="H60" s="23"/>
      <c r="I60" s="23"/>
      <c r="J60" s="23"/>
      <c r="K60" s="23"/>
      <c r="L60" s="23"/>
      <c r="M60" s="23"/>
      <c r="N60" s="23"/>
    </row>
    <row r="61" spans="1:14" x14ac:dyDescent="0.25">
      <c r="A61" s="22" t="s">
        <v>83</v>
      </c>
      <c r="B61" s="23">
        <v>517</v>
      </c>
      <c r="C61" s="23">
        <v>575</v>
      </c>
      <c r="D61" s="23">
        <v>506</v>
      </c>
      <c r="E61" s="23">
        <v>514</v>
      </c>
      <c r="F61" s="23">
        <v>667</v>
      </c>
      <c r="G61" s="23"/>
      <c r="H61" s="23"/>
      <c r="I61" s="23"/>
      <c r="J61" s="23"/>
      <c r="K61" s="23"/>
      <c r="L61" s="23"/>
      <c r="M61" s="23"/>
      <c r="N61" s="23"/>
    </row>
    <row r="62" spans="1:14" x14ac:dyDescent="0.25">
      <c r="A62" s="22" t="s">
        <v>52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x14ac:dyDescent="0.25">
      <c r="A63" s="22" t="s">
        <v>13</v>
      </c>
    </row>
    <row r="64" spans="1:14" x14ac:dyDescent="0.25">
      <c r="A64" s="22"/>
    </row>
    <row r="65" spans="1:1" x14ac:dyDescent="0.25">
      <c r="A65" s="13" t="s">
        <v>25</v>
      </c>
    </row>
  </sheetData>
  <phoneticPr fontId="0" type="noConversion"/>
  <pageMargins left="0.75" right="0.75" top="1" bottom="1" header="0.5" footer="0.5"/>
  <pageSetup scale="4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N68"/>
  <sheetViews>
    <sheetView topLeftCell="K22" workbookViewId="0"/>
  </sheetViews>
  <sheetFormatPr defaultRowHeight="15" x14ac:dyDescent="0.25"/>
  <cols>
    <col min="1" max="1" width="28.4140625" bestFit="1" customWidth="1"/>
    <col min="2" max="2" width="20.25" bestFit="1" customWidth="1"/>
    <col min="3" max="13" width="12" bestFit="1" customWidth="1"/>
    <col min="14" max="14" width="13.08203125" bestFit="1" customWidth="1"/>
  </cols>
  <sheetData>
    <row r="1" spans="1:14" x14ac:dyDescent="0.25">
      <c r="A1" s="13" t="s">
        <v>63</v>
      </c>
    </row>
    <row r="4" spans="1:14" x14ac:dyDescent="0.25">
      <c r="B4" s="13" t="s">
        <v>26</v>
      </c>
      <c r="C4" s="13" t="s">
        <v>27</v>
      </c>
      <c r="D4" s="13" t="s">
        <v>28</v>
      </c>
      <c r="E4" s="13" t="s">
        <v>29</v>
      </c>
      <c r="F4" s="13" t="s">
        <v>30</v>
      </c>
      <c r="G4" s="13" t="s">
        <v>55</v>
      </c>
      <c r="H4" s="13" t="s">
        <v>86</v>
      </c>
      <c r="I4" s="13" t="s">
        <v>33</v>
      </c>
      <c r="J4" s="13" t="s">
        <v>87</v>
      </c>
      <c r="K4" s="13" t="s">
        <v>35</v>
      </c>
      <c r="L4" s="13" t="s">
        <v>36</v>
      </c>
      <c r="M4" s="13" t="s">
        <v>37</v>
      </c>
      <c r="N4" s="13" t="s">
        <v>25</v>
      </c>
    </row>
    <row r="5" spans="1:14" x14ac:dyDescent="0.25">
      <c r="B5" s="13" t="s">
        <v>84</v>
      </c>
      <c r="N5" s="21"/>
    </row>
    <row r="6" spans="1:14" x14ac:dyDescent="0.25">
      <c r="A6" s="22" t="s">
        <v>64</v>
      </c>
      <c r="B6" s="21">
        <v>3884.4</v>
      </c>
      <c r="C6" s="21">
        <v>5257.2</v>
      </c>
      <c r="D6" s="21">
        <v>5964.4</v>
      </c>
      <c r="E6" s="21">
        <v>6552</v>
      </c>
      <c r="F6" s="21">
        <v>11271.6</v>
      </c>
      <c r="G6" s="21">
        <v>7582.6</v>
      </c>
      <c r="H6" s="21">
        <v>14210.4</v>
      </c>
      <c r="I6" s="21">
        <v>13844.6</v>
      </c>
      <c r="J6" s="21">
        <v>9850</v>
      </c>
      <c r="K6" s="21">
        <v>6489</v>
      </c>
      <c r="L6" s="21">
        <v>5670</v>
      </c>
      <c r="M6" s="21">
        <v>4819.5</v>
      </c>
      <c r="N6" s="21">
        <v>95395.7</v>
      </c>
    </row>
    <row r="7" spans="1:14" x14ac:dyDescent="0.25">
      <c r="A7" s="22" t="s">
        <v>65</v>
      </c>
      <c r="B7" s="21">
        <v>1102.8</v>
      </c>
      <c r="C7" s="21">
        <v>1408.8</v>
      </c>
      <c r="D7" s="21">
        <v>1783.2</v>
      </c>
      <c r="E7" s="21">
        <v>1778.4</v>
      </c>
      <c r="F7" s="21">
        <v>2907.6</v>
      </c>
      <c r="G7" s="21">
        <v>2415.6</v>
      </c>
      <c r="H7" s="21">
        <v>3680.4</v>
      </c>
      <c r="I7" s="21">
        <v>3982.8</v>
      </c>
      <c r="J7" s="21">
        <v>2595</v>
      </c>
      <c r="K7" s="21">
        <v>1698.75</v>
      </c>
      <c r="L7" s="21">
        <v>1708.75</v>
      </c>
      <c r="M7" s="21">
        <v>1288.75</v>
      </c>
      <c r="N7" s="21">
        <v>26350.85</v>
      </c>
    </row>
    <row r="8" spans="1:14" x14ac:dyDescent="0.25">
      <c r="A8" s="22" t="s">
        <v>66</v>
      </c>
      <c r="B8" s="21">
        <v>118.35</v>
      </c>
      <c r="C8" s="21">
        <v>126.45</v>
      </c>
      <c r="D8" s="21">
        <v>207</v>
      </c>
      <c r="E8" s="21">
        <v>283.95</v>
      </c>
      <c r="F8" s="21">
        <v>328.5</v>
      </c>
      <c r="G8" s="21">
        <v>315</v>
      </c>
      <c r="H8" s="21">
        <v>597.6</v>
      </c>
      <c r="I8" s="21">
        <v>604.35</v>
      </c>
      <c r="J8" s="21">
        <v>261</v>
      </c>
      <c r="K8" s="21">
        <v>188.5</v>
      </c>
      <c r="L8" s="21">
        <v>233.5</v>
      </c>
      <c r="M8" s="21">
        <v>190</v>
      </c>
      <c r="N8" s="21">
        <v>3454.2</v>
      </c>
    </row>
    <row r="9" spans="1:14" x14ac:dyDescent="0.25">
      <c r="A9" s="22" t="s">
        <v>9</v>
      </c>
      <c r="B9" s="21">
        <v>6</v>
      </c>
      <c r="C9" s="21">
        <v>8</v>
      </c>
      <c r="D9" s="21">
        <v>30</v>
      </c>
      <c r="E9" s="21">
        <v>24</v>
      </c>
      <c r="F9" s="21">
        <v>60</v>
      </c>
      <c r="G9" s="21">
        <v>54</v>
      </c>
      <c r="H9" s="21">
        <v>60</v>
      </c>
      <c r="I9" s="21">
        <v>74</v>
      </c>
      <c r="J9" s="21">
        <v>46</v>
      </c>
      <c r="K9" s="21">
        <v>14</v>
      </c>
      <c r="L9" s="21">
        <v>8</v>
      </c>
      <c r="M9" s="21">
        <v>4</v>
      </c>
      <c r="N9" s="21">
        <v>388</v>
      </c>
    </row>
    <row r="10" spans="1:14" x14ac:dyDescent="0.25">
      <c r="A10" s="22" t="s">
        <v>67</v>
      </c>
      <c r="B10" s="21">
        <v>10.7</v>
      </c>
      <c r="C10" s="21">
        <v>5.35</v>
      </c>
      <c r="D10" s="21">
        <v>42.8</v>
      </c>
      <c r="E10" s="21">
        <v>58.85</v>
      </c>
      <c r="F10" s="21">
        <v>139.69999999999999</v>
      </c>
      <c r="G10" s="21">
        <v>44.45</v>
      </c>
      <c r="H10" s="21">
        <v>241.3</v>
      </c>
      <c r="I10" s="21">
        <v>139.69999999999999</v>
      </c>
      <c r="J10" s="21">
        <v>0</v>
      </c>
      <c r="K10" s="21">
        <v>0</v>
      </c>
      <c r="L10" s="21">
        <v>0</v>
      </c>
      <c r="M10" s="21">
        <v>0</v>
      </c>
      <c r="N10" s="21">
        <v>682.85</v>
      </c>
    </row>
    <row r="11" spans="1:14" x14ac:dyDescent="0.25">
      <c r="A11" s="22" t="s">
        <v>68</v>
      </c>
      <c r="B11" s="21">
        <v>8972.5</v>
      </c>
      <c r="C11" s="21">
        <v>9111.25</v>
      </c>
      <c r="D11" s="21">
        <v>9435</v>
      </c>
      <c r="E11" s="21">
        <v>9758.75</v>
      </c>
      <c r="F11" s="21">
        <v>9990</v>
      </c>
      <c r="G11" s="21">
        <v>8463.75</v>
      </c>
      <c r="H11" s="21">
        <v>11100</v>
      </c>
      <c r="I11" s="21">
        <v>9250</v>
      </c>
      <c r="J11" s="21">
        <v>9805</v>
      </c>
      <c r="K11" s="21">
        <v>10221.25</v>
      </c>
      <c r="L11" s="21">
        <v>9342.5</v>
      </c>
      <c r="M11" s="21">
        <v>8880</v>
      </c>
      <c r="N11" s="21">
        <v>114330</v>
      </c>
    </row>
    <row r="12" spans="1:14" x14ac:dyDescent="0.25">
      <c r="A12" s="22" t="s">
        <v>69</v>
      </c>
      <c r="B12" s="21">
        <v>1554.8</v>
      </c>
      <c r="C12" s="21">
        <v>1487.2</v>
      </c>
      <c r="D12" s="21">
        <v>2095.6</v>
      </c>
      <c r="E12" s="21">
        <v>2095.6</v>
      </c>
      <c r="F12" s="21">
        <v>2433.6</v>
      </c>
      <c r="G12" s="21">
        <v>2230.8000000000002</v>
      </c>
      <c r="H12" s="21">
        <v>2602.6</v>
      </c>
      <c r="I12" s="21">
        <v>2163.1999999999998</v>
      </c>
      <c r="J12" s="21">
        <v>1520.95</v>
      </c>
      <c r="K12" s="21">
        <v>1825.2</v>
      </c>
      <c r="L12" s="21">
        <v>1554.8</v>
      </c>
      <c r="M12" s="21">
        <v>1047.8</v>
      </c>
      <c r="N12" s="21">
        <v>22612.15</v>
      </c>
    </row>
    <row r="13" spans="1:14" x14ac:dyDescent="0.25">
      <c r="A13" s="22" t="s">
        <v>70</v>
      </c>
      <c r="B13" s="21">
        <v>1500</v>
      </c>
      <c r="C13" s="21">
        <v>1518.75</v>
      </c>
      <c r="D13" s="21">
        <v>1518.75</v>
      </c>
      <c r="E13" s="21">
        <v>1650</v>
      </c>
      <c r="F13" s="21">
        <v>2493.75</v>
      </c>
      <c r="G13" s="21">
        <v>3037.5</v>
      </c>
      <c r="H13" s="21">
        <v>2137.5</v>
      </c>
      <c r="I13" s="21">
        <v>2118.75</v>
      </c>
      <c r="J13" s="21">
        <v>1856.3</v>
      </c>
      <c r="K13" s="21">
        <v>1818.75</v>
      </c>
      <c r="L13" s="21">
        <v>1256.25</v>
      </c>
      <c r="M13" s="21">
        <v>1800</v>
      </c>
      <c r="N13" s="21">
        <v>22706.3</v>
      </c>
    </row>
    <row r="14" spans="1:14" x14ac:dyDescent="0.25">
      <c r="A14" s="22" t="s">
        <v>71</v>
      </c>
      <c r="B14" s="21">
        <v>137.5</v>
      </c>
      <c r="C14" s="21">
        <v>106.25</v>
      </c>
      <c r="D14" s="21">
        <v>112.5</v>
      </c>
      <c r="E14" s="21">
        <v>181.25</v>
      </c>
      <c r="F14" s="21">
        <v>150</v>
      </c>
      <c r="G14" s="21">
        <v>256.25</v>
      </c>
      <c r="H14" s="21">
        <v>268.75</v>
      </c>
      <c r="I14" s="21">
        <v>218.75</v>
      </c>
      <c r="J14" s="21">
        <v>100</v>
      </c>
      <c r="K14" s="21">
        <v>125</v>
      </c>
      <c r="L14" s="21">
        <v>125</v>
      </c>
      <c r="M14" s="21">
        <v>106.25</v>
      </c>
      <c r="N14" s="21">
        <v>1887.5</v>
      </c>
    </row>
    <row r="15" spans="1:14" x14ac:dyDescent="0.25">
      <c r="A15" s="22" t="s">
        <v>72</v>
      </c>
      <c r="B15" s="21">
        <v>609</v>
      </c>
      <c r="C15" s="21">
        <v>525</v>
      </c>
      <c r="D15" s="21">
        <v>441</v>
      </c>
      <c r="E15" s="21">
        <v>273</v>
      </c>
      <c r="F15" s="21">
        <v>434</v>
      </c>
      <c r="G15" s="21">
        <v>462</v>
      </c>
      <c r="H15" s="21">
        <v>427</v>
      </c>
      <c r="I15" s="21">
        <v>511</v>
      </c>
      <c r="J15" s="21">
        <v>0</v>
      </c>
      <c r="K15" s="21">
        <v>0</v>
      </c>
      <c r="L15" s="21">
        <v>0</v>
      </c>
      <c r="M15" s="21">
        <v>0</v>
      </c>
      <c r="N15" s="21">
        <v>3682</v>
      </c>
    </row>
    <row r="16" spans="1:14" x14ac:dyDescent="0.25">
      <c r="A16" s="22" t="s">
        <v>45</v>
      </c>
      <c r="B16" s="21">
        <v>180</v>
      </c>
      <c r="C16" s="21">
        <v>255</v>
      </c>
      <c r="D16" s="21">
        <v>285</v>
      </c>
      <c r="E16" s="21">
        <v>360</v>
      </c>
      <c r="F16" s="21">
        <v>412.5</v>
      </c>
      <c r="G16" s="21">
        <v>360</v>
      </c>
      <c r="H16" s="21">
        <v>585</v>
      </c>
      <c r="I16" s="21">
        <v>427.5</v>
      </c>
      <c r="J16" s="21">
        <v>1104</v>
      </c>
      <c r="K16" s="21">
        <v>574</v>
      </c>
      <c r="L16" s="21">
        <v>455</v>
      </c>
      <c r="M16" s="21">
        <v>469</v>
      </c>
      <c r="N16" s="21">
        <v>5467</v>
      </c>
    </row>
    <row r="17" spans="1:14" x14ac:dyDescent="0.25">
      <c r="A17" s="22" t="s">
        <v>73</v>
      </c>
      <c r="B17" s="21">
        <v>546</v>
      </c>
      <c r="C17" s="21">
        <v>483</v>
      </c>
      <c r="D17" s="21">
        <v>493.5</v>
      </c>
      <c r="E17" s="21">
        <v>1102.5</v>
      </c>
      <c r="F17" s="21">
        <v>913.5</v>
      </c>
      <c r="G17" s="21">
        <v>451.5</v>
      </c>
      <c r="H17" s="21">
        <v>504</v>
      </c>
      <c r="I17" s="21">
        <v>661.5</v>
      </c>
      <c r="J17" s="21">
        <v>0</v>
      </c>
      <c r="K17" s="21">
        <v>0</v>
      </c>
      <c r="L17" s="21">
        <v>0</v>
      </c>
      <c r="M17" s="21">
        <v>0</v>
      </c>
      <c r="N17" s="21">
        <v>5155.5</v>
      </c>
    </row>
    <row r="18" spans="1:14" x14ac:dyDescent="0.25">
      <c r="A18" s="22" t="s">
        <v>46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520</v>
      </c>
      <c r="K18" s="21">
        <v>225</v>
      </c>
      <c r="L18" s="21">
        <v>198</v>
      </c>
      <c r="M18" s="21">
        <v>135</v>
      </c>
      <c r="N18" s="21">
        <v>1078</v>
      </c>
    </row>
    <row r="19" spans="1:14" x14ac:dyDescent="0.25">
      <c r="A19" s="22" t="s">
        <v>47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517.5</v>
      </c>
      <c r="K19" s="21">
        <v>430.5</v>
      </c>
      <c r="L19" s="21">
        <v>325.5</v>
      </c>
      <c r="M19" s="21">
        <v>273</v>
      </c>
      <c r="N19" s="21">
        <v>1546.5</v>
      </c>
    </row>
    <row r="20" spans="1:14" x14ac:dyDescent="0.25">
      <c r="A20" s="22" t="s">
        <v>48</v>
      </c>
      <c r="B20" s="21">
        <v>168</v>
      </c>
      <c r="C20" s="21">
        <v>98</v>
      </c>
      <c r="D20" s="21">
        <v>168</v>
      </c>
      <c r="E20" s="21">
        <v>210</v>
      </c>
      <c r="F20" s="21">
        <v>266</v>
      </c>
      <c r="G20" s="21">
        <v>308</v>
      </c>
      <c r="H20" s="21">
        <v>210</v>
      </c>
      <c r="I20" s="21">
        <v>224</v>
      </c>
      <c r="J20" s="21">
        <v>585</v>
      </c>
      <c r="K20" s="21">
        <v>210</v>
      </c>
      <c r="L20" s="21">
        <v>434</v>
      </c>
      <c r="M20" s="21">
        <v>168</v>
      </c>
      <c r="N20" s="21">
        <v>3049</v>
      </c>
    </row>
    <row r="21" spans="1:14" x14ac:dyDescent="0.25">
      <c r="A21" s="22" t="s">
        <v>49</v>
      </c>
      <c r="B21" s="21">
        <v>37</v>
      </c>
      <c r="C21" s="21">
        <v>0</v>
      </c>
      <c r="D21" s="21">
        <v>0</v>
      </c>
      <c r="E21" s="21">
        <v>18.5</v>
      </c>
      <c r="F21" s="21">
        <v>92.5</v>
      </c>
      <c r="G21" s="21">
        <v>37</v>
      </c>
      <c r="H21" s="21">
        <v>37</v>
      </c>
      <c r="I21" s="21">
        <v>37</v>
      </c>
      <c r="J21" s="21">
        <v>171</v>
      </c>
      <c r="K21" s="21">
        <v>180</v>
      </c>
      <c r="L21" s="21">
        <v>36</v>
      </c>
      <c r="M21" s="21">
        <v>54</v>
      </c>
      <c r="N21" s="21">
        <v>700</v>
      </c>
    </row>
    <row r="22" spans="1:14" x14ac:dyDescent="0.25">
      <c r="A22" s="22" t="s">
        <v>50</v>
      </c>
      <c r="B22" s="21">
        <v>625</v>
      </c>
      <c r="C22" s="21">
        <v>1575</v>
      </c>
      <c r="D22" s="21">
        <v>950</v>
      </c>
      <c r="E22" s="21">
        <v>375</v>
      </c>
      <c r="F22" s="21">
        <v>400</v>
      </c>
      <c r="G22" s="21">
        <v>50</v>
      </c>
      <c r="H22" s="21">
        <v>550</v>
      </c>
      <c r="I22" s="21">
        <v>800</v>
      </c>
      <c r="J22" s="21">
        <v>598</v>
      </c>
      <c r="K22" s="21">
        <v>1000</v>
      </c>
      <c r="L22" s="21">
        <v>200</v>
      </c>
      <c r="M22" s="21">
        <v>125</v>
      </c>
      <c r="N22" s="21">
        <v>7248</v>
      </c>
    </row>
    <row r="23" spans="1:14" x14ac:dyDescent="0.25">
      <c r="A23" s="22" t="s">
        <v>51</v>
      </c>
      <c r="B23" s="21">
        <v>25</v>
      </c>
      <c r="C23" s="21">
        <v>50</v>
      </c>
      <c r="D23" s="21">
        <v>0</v>
      </c>
      <c r="E23" s="21">
        <v>0</v>
      </c>
      <c r="F23" s="21">
        <v>0</v>
      </c>
      <c r="G23" s="21">
        <v>50</v>
      </c>
      <c r="H23" s="21">
        <v>0</v>
      </c>
      <c r="I23" s="21">
        <v>25</v>
      </c>
      <c r="J23" s="21">
        <v>130</v>
      </c>
      <c r="K23" s="21">
        <v>125</v>
      </c>
      <c r="L23" s="21">
        <v>0</v>
      </c>
      <c r="M23" s="21">
        <v>25</v>
      </c>
      <c r="N23" s="21">
        <v>430</v>
      </c>
    </row>
    <row r="24" spans="1:14" x14ac:dyDescent="0.25">
      <c r="A24" s="22" t="s">
        <v>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442</v>
      </c>
      <c r="K24" s="21">
        <v>625</v>
      </c>
      <c r="L24" s="21">
        <v>325</v>
      </c>
      <c r="M24" s="21">
        <v>325</v>
      </c>
      <c r="N24" s="21">
        <v>1717</v>
      </c>
    </row>
    <row r="25" spans="1:14" x14ac:dyDescent="0.25">
      <c r="A25" s="22" t="s">
        <v>74</v>
      </c>
      <c r="B25" s="21">
        <v>42</v>
      </c>
      <c r="C25" s="21">
        <v>45.5</v>
      </c>
      <c r="D25" s="21">
        <v>73.5</v>
      </c>
      <c r="E25" s="21">
        <v>56</v>
      </c>
      <c r="F25" s="21">
        <v>115.5</v>
      </c>
      <c r="G25" s="21">
        <v>80.5</v>
      </c>
      <c r="H25" s="21">
        <v>77</v>
      </c>
      <c r="I25" s="21">
        <v>115.5</v>
      </c>
      <c r="J25" s="21">
        <v>28</v>
      </c>
      <c r="K25" s="21">
        <v>45.5</v>
      </c>
      <c r="L25" s="21">
        <v>28</v>
      </c>
      <c r="M25" s="21">
        <v>10.5</v>
      </c>
      <c r="N25" s="21">
        <v>717.5</v>
      </c>
    </row>
    <row r="26" spans="1:14" x14ac:dyDescent="0.25">
      <c r="A26" s="22" t="s">
        <v>43</v>
      </c>
      <c r="B26" s="21">
        <v>42</v>
      </c>
      <c r="C26" s="21">
        <v>126</v>
      </c>
      <c r="D26" s="21">
        <v>68.25</v>
      </c>
      <c r="E26" s="21">
        <v>141.75</v>
      </c>
      <c r="F26" s="21">
        <v>420</v>
      </c>
      <c r="G26" s="21">
        <v>173.25</v>
      </c>
      <c r="H26" s="21">
        <v>462</v>
      </c>
      <c r="I26" s="21">
        <v>427.5</v>
      </c>
      <c r="J26" s="21">
        <v>147</v>
      </c>
      <c r="K26" s="21">
        <v>94.5</v>
      </c>
      <c r="L26" s="21">
        <v>52.5</v>
      </c>
      <c r="M26" s="21">
        <v>26.25</v>
      </c>
      <c r="N26" s="21">
        <v>2181</v>
      </c>
    </row>
    <row r="27" spans="1:14" x14ac:dyDescent="0.25">
      <c r="A27" s="22" t="s">
        <v>44</v>
      </c>
      <c r="B27" s="21">
        <v>36.75</v>
      </c>
      <c r="C27" s="21">
        <v>36.75</v>
      </c>
      <c r="D27" s="21">
        <v>42</v>
      </c>
      <c r="E27" s="21">
        <v>52.5</v>
      </c>
      <c r="F27" s="21">
        <v>99.75</v>
      </c>
      <c r="G27" s="21">
        <v>99.75</v>
      </c>
      <c r="H27" s="21">
        <v>178.5</v>
      </c>
      <c r="I27" s="21">
        <v>115.5</v>
      </c>
      <c r="J27" s="21">
        <v>26.25</v>
      </c>
      <c r="K27" s="21">
        <v>15.75</v>
      </c>
      <c r="L27" s="21">
        <v>10.5</v>
      </c>
      <c r="M27" s="21">
        <v>0</v>
      </c>
      <c r="N27" s="21">
        <v>714</v>
      </c>
    </row>
    <row r="28" spans="1:14" x14ac:dyDescent="0.25">
      <c r="A28" s="22" t="s">
        <v>11</v>
      </c>
      <c r="B28" s="21">
        <v>35.9</v>
      </c>
      <c r="C28" s="21">
        <v>24.85</v>
      </c>
      <c r="D28" s="21">
        <v>28.35</v>
      </c>
      <c r="E28" s="21">
        <v>46.35</v>
      </c>
      <c r="F28" s="21">
        <v>117</v>
      </c>
      <c r="G28" s="21">
        <v>68.75</v>
      </c>
      <c r="H28" s="21">
        <v>130.55000000000001</v>
      </c>
      <c r="I28" s="21">
        <v>119.95</v>
      </c>
      <c r="J28" s="21">
        <v>23</v>
      </c>
      <c r="K28" s="21">
        <v>13.5</v>
      </c>
      <c r="L28" s="21">
        <v>4.5</v>
      </c>
      <c r="M28" s="21">
        <v>3</v>
      </c>
      <c r="N28" s="21">
        <v>615.70000000000005</v>
      </c>
    </row>
    <row r="29" spans="1:14" x14ac:dyDescent="0.25">
      <c r="A29" s="22" t="s">
        <v>75</v>
      </c>
      <c r="B29" s="21">
        <v>729.5</v>
      </c>
      <c r="C29" s="21">
        <v>576.75</v>
      </c>
      <c r="D29" s="21">
        <v>605.25</v>
      </c>
      <c r="E29" s="21">
        <v>373.25</v>
      </c>
      <c r="F29" s="21">
        <v>944.75</v>
      </c>
      <c r="G29" s="21">
        <v>425.5</v>
      </c>
      <c r="H29" s="21">
        <v>305.25</v>
      </c>
      <c r="I29" s="21">
        <v>355.25</v>
      </c>
      <c r="J29" s="21">
        <v>980</v>
      </c>
      <c r="K29" s="21">
        <v>472</v>
      </c>
      <c r="L29" s="21">
        <v>4979.1499999999996</v>
      </c>
      <c r="M29" s="21">
        <v>674.5</v>
      </c>
      <c r="N29" s="21">
        <v>11421.15</v>
      </c>
    </row>
    <row r="30" spans="1:14" x14ac:dyDescent="0.25">
      <c r="A30" s="22" t="s">
        <v>52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109.8</v>
      </c>
      <c r="M30" s="21">
        <v>85.4</v>
      </c>
      <c r="N30" s="21">
        <v>195.2</v>
      </c>
    </row>
    <row r="31" spans="1:14" x14ac:dyDescent="0.25">
      <c r="A31" s="22" t="s">
        <v>13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</row>
    <row r="32" spans="1:14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x14ac:dyDescent="0.25">
      <c r="A33" s="13" t="s">
        <v>25</v>
      </c>
      <c r="B33" s="21">
        <v>20363.2</v>
      </c>
      <c r="C33" s="21">
        <v>22825.1</v>
      </c>
      <c r="D33" s="21">
        <v>24344.1</v>
      </c>
      <c r="E33" s="21">
        <v>25391.65</v>
      </c>
      <c r="F33" s="21">
        <v>33990.25</v>
      </c>
      <c r="G33" s="21">
        <v>26966.2</v>
      </c>
      <c r="H33" s="21">
        <v>38364.85</v>
      </c>
      <c r="I33" s="21">
        <v>36215.85</v>
      </c>
      <c r="J33" s="21">
        <v>31306</v>
      </c>
      <c r="K33" s="21">
        <v>26391.200000000001</v>
      </c>
      <c r="L33" s="21">
        <v>27056.75</v>
      </c>
      <c r="M33" s="21">
        <v>20509.95</v>
      </c>
      <c r="N33" s="21">
        <v>333725.09999999998</v>
      </c>
    </row>
    <row r="34" spans="1:14" x14ac:dyDescent="0.25">
      <c r="A34" s="13" t="s">
        <v>76</v>
      </c>
      <c r="N34" s="21">
        <v>333725.09999999998</v>
      </c>
    </row>
    <row r="35" spans="1:14" x14ac:dyDescent="0.25">
      <c r="A35" s="13" t="s">
        <v>77</v>
      </c>
    </row>
    <row r="36" spans="1:14" x14ac:dyDescent="0.25">
      <c r="B36" s="13" t="s">
        <v>85</v>
      </c>
    </row>
    <row r="38" spans="1:14" x14ac:dyDescent="0.25">
      <c r="A38" s="22" t="s">
        <v>64</v>
      </c>
      <c r="B38" s="23">
        <v>747</v>
      </c>
      <c r="C38" s="23">
        <v>1011</v>
      </c>
      <c r="D38" s="23">
        <v>1147</v>
      </c>
      <c r="E38" s="23">
        <v>1260</v>
      </c>
      <c r="F38" s="23">
        <v>1818</v>
      </c>
      <c r="G38" s="23">
        <v>1223</v>
      </c>
      <c r="H38" s="23">
        <v>2292</v>
      </c>
      <c r="I38" s="23">
        <v>2233</v>
      </c>
      <c r="J38" s="23">
        <v>1576</v>
      </c>
      <c r="K38" s="23">
        <v>1236</v>
      </c>
      <c r="L38" s="23">
        <v>1080</v>
      </c>
      <c r="M38" s="23">
        <v>918</v>
      </c>
      <c r="N38" s="23"/>
    </row>
    <row r="39" spans="1:14" x14ac:dyDescent="0.25">
      <c r="A39" s="22" t="s">
        <v>65</v>
      </c>
      <c r="B39" s="23">
        <v>919</v>
      </c>
      <c r="C39" s="23">
        <v>1174</v>
      </c>
      <c r="D39" s="23">
        <v>1486</v>
      </c>
      <c r="E39" s="23">
        <v>1482</v>
      </c>
      <c r="F39" s="23">
        <v>2423</v>
      </c>
      <c r="G39" s="23">
        <v>2013</v>
      </c>
      <c r="H39" s="23">
        <v>3067</v>
      </c>
      <c r="I39" s="23">
        <v>3319</v>
      </c>
      <c r="J39" s="23">
        <v>2076</v>
      </c>
      <c r="K39" s="23">
        <v>1359</v>
      </c>
      <c r="L39" s="23">
        <v>1367</v>
      </c>
      <c r="M39" s="23">
        <v>1031</v>
      </c>
      <c r="N39" s="23"/>
    </row>
    <row r="40" spans="1:14" x14ac:dyDescent="0.25">
      <c r="A40" s="22" t="s">
        <v>66</v>
      </c>
      <c r="B40" s="23">
        <v>263</v>
      </c>
      <c r="C40" s="23">
        <v>281</v>
      </c>
      <c r="D40" s="23">
        <v>460</v>
      </c>
      <c r="E40" s="23">
        <v>631</v>
      </c>
      <c r="F40" s="23">
        <v>730</v>
      </c>
      <c r="G40" s="23">
        <v>700</v>
      </c>
      <c r="H40" s="23">
        <v>1328</v>
      </c>
      <c r="I40" s="23">
        <v>1343</v>
      </c>
      <c r="J40" s="23">
        <v>522</v>
      </c>
      <c r="K40" s="23">
        <v>377</v>
      </c>
      <c r="L40" s="23">
        <v>467</v>
      </c>
      <c r="M40" s="23">
        <v>380</v>
      </c>
      <c r="N40" s="23"/>
    </row>
    <row r="41" spans="1:14" x14ac:dyDescent="0.25">
      <c r="A41" s="22" t="s">
        <v>9</v>
      </c>
      <c r="B41" s="23">
        <v>3</v>
      </c>
      <c r="C41" s="23">
        <v>4</v>
      </c>
      <c r="D41" s="23">
        <v>15</v>
      </c>
      <c r="E41" s="23">
        <v>12</v>
      </c>
      <c r="F41" s="23">
        <v>30</v>
      </c>
      <c r="G41" s="23">
        <v>27</v>
      </c>
      <c r="H41" s="23">
        <v>30</v>
      </c>
      <c r="I41" s="23">
        <v>37</v>
      </c>
      <c r="J41" s="23">
        <v>23</v>
      </c>
      <c r="K41" s="23">
        <v>7</v>
      </c>
      <c r="L41" s="23">
        <v>4</v>
      </c>
      <c r="M41" s="23">
        <v>2</v>
      </c>
      <c r="N41" s="23"/>
    </row>
    <row r="42" spans="1:14" x14ac:dyDescent="0.25">
      <c r="A42" s="22" t="s">
        <v>78</v>
      </c>
      <c r="B42">
        <v>2</v>
      </c>
      <c r="C42">
        <v>1</v>
      </c>
      <c r="D42">
        <v>8</v>
      </c>
      <c r="E42">
        <v>11</v>
      </c>
      <c r="F42">
        <v>22</v>
      </c>
      <c r="G42">
        <v>7</v>
      </c>
      <c r="H42">
        <v>38</v>
      </c>
      <c r="I42">
        <v>22</v>
      </c>
    </row>
    <row r="43" spans="1:14" x14ac:dyDescent="0.25">
      <c r="A43" s="22" t="s">
        <v>68</v>
      </c>
      <c r="B43" s="23">
        <v>4850</v>
      </c>
      <c r="C43" s="23">
        <v>4925</v>
      </c>
      <c r="D43" s="23">
        <v>5100</v>
      </c>
      <c r="E43" s="23">
        <v>5257</v>
      </c>
      <c r="F43" s="23">
        <v>5400</v>
      </c>
      <c r="G43" s="23">
        <v>4575</v>
      </c>
      <c r="H43" s="23">
        <v>6000</v>
      </c>
      <c r="I43" s="23">
        <v>5000</v>
      </c>
      <c r="J43" s="23">
        <v>5300</v>
      </c>
      <c r="K43" s="23">
        <v>5525</v>
      </c>
      <c r="L43" s="23">
        <v>5050</v>
      </c>
      <c r="M43" s="23">
        <v>4800</v>
      </c>
      <c r="N43" s="23"/>
    </row>
    <row r="44" spans="1:14" x14ac:dyDescent="0.25">
      <c r="A44" s="22" t="s">
        <v>69</v>
      </c>
      <c r="B44" s="23">
        <v>598</v>
      </c>
      <c r="C44" s="23">
        <v>572</v>
      </c>
      <c r="D44" s="23">
        <v>806</v>
      </c>
      <c r="E44" s="23">
        <v>806</v>
      </c>
      <c r="F44" s="23">
        <v>936</v>
      </c>
      <c r="G44" s="23">
        <v>858</v>
      </c>
      <c r="H44" s="23">
        <v>1001</v>
      </c>
      <c r="I44" s="23">
        <v>832</v>
      </c>
      <c r="J44" s="23">
        <v>573</v>
      </c>
      <c r="K44" s="23">
        <v>702</v>
      </c>
      <c r="L44" s="23">
        <v>598</v>
      </c>
      <c r="M44" s="23">
        <v>403</v>
      </c>
      <c r="N44" s="23"/>
    </row>
    <row r="45" spans="1:14" x14ac:dyDescent="0.25">
      <c r="A45" s="22" t="s">
        <v>70</v>
      </c>
      <c r="B45" s="23">
        <v>2000</v>
      </c>
      <c r="C45" s="23">
        <v>2025</v>
      </c>
      <c r="D45" s="23">
        <v>2025</v>
      </c>
      <c r="E45" s="23">
        <v>2200</v>
      </c>
      <c r="F45" s="23">
        <v>3325</v>
      </c>
      <c r="G45" s="23">
        <v>2106</v>
      </c>
      <c r="H45" s="23">
        <v>2850</v>
      </c>
      <c r="I45" s="23">
        <v>2825</v>
      </c>
      <c r="J45" s="23">
        <v>2475</v>
      </c>
      <c r="K45" s="23">
        <v>2425</v>
      </c>
      <c r="L45" s="23">
        <v>1675</v>
      </c>
      <c r="M45" s="23">
        <v>2400</v>
      </c>
      <c r="N45" s="23"/>
    </row>
    <row r="46" spans="1:14" x14ac:dyDescent="0.25">
      <c r="A46" s="22" t="s">
        <v>71</v>
      </c>
      <c r="B46" s="23">
        <v>550</v>
      </c>
      <c r="C46" s="23">
        <v>425</v>
      </c>
      <c r="D46" s="23">
        <v>450</v>
      </c>
      <c r="E46" s="23">
        <v>725</v>
      </c>
      <c r="F46" s="23">
        <v>600</v>
      </c>
      <c r="G46" s="23">
        <v>533</v>
      </c>
      <c r="H46" s="23">
        <v>1075</v>
      </c>
      <c r="I46" s="23">
        <v>875</v>
      </c>
      <c r="J46" s="23">
        <v>400</v>
      </c>
      <c r="K46" s="23">
        <v>500</v>
      </c>
      <c r="L46" s="23">
        <v>500</v>
      </c>
      <c r="M46" s="23">
        <v>425</v>
      </c>
      <c r="N46" s="23"/>
    </row>
    <row r="47" spans="1:14" x14ac:dyDescent="0.25">
      <c r="A47" s="22" t="s">
        <v>79</v>
      </c>
      <c r="B47">
        <v>87</v>
      </c>
      <c r="C47">
        <v>75</v>
      </c>
      <c r="D47">
        <v>63</v>
      </c>
      <c r="E47">
        <v>39</v>
      </c>
      <c r="F47">
        <v>62</v>
      </c>
      <c r="G47">
        <v>66</v>
      </c>
      <c r="H47">
        <v>61</v>
      </c>
      <c r="I47">
        <v>73</v>
      </c>
    </row>
    <row r="48" spans="1:14" x14ac:dyDescent="0.25">
      <c r="A48" s="22" t="s">
        <v>45</v>
      </c>
      <c r="B48" s="23">
        <v>24</v>
      </c>
      <c r="C48" s="23">
        <v>34</v>
      </c>
      <c r="D48" s="23">
        <v>38</v>
      </c>
      <c r="E48" s="23">
        <v>48</v>
      </c>
      <c r="F48" s="23">
        <v>55</v>
      </c>
      <c r="G48" s="23">
        <v>48</v>
      </c>
      <c r="H48" s="23">
        <v>78</v>
      </c>
      <c r="I48" s="23">
        <v>57</v>
      </c>
      <c r="J48" s="23">
        <v>138</v>
      </c>
      <c r="K48" s="23">
        <v>82</v>
      </c>
      <c r="L48" s="23">
        <v>65</v>
      </c>
      <c r="M48" s="23">
        <v>67</v>
      </c>
      <c r="N48" s="23"/>
    </row>
    <row r="49" spans="1:14" x14ac:dyDescent="0.25">
      <c r="A49" s="22" t="s">
        <v>80</v>
      </c>
      <c r="B49">
        <v>52</v>
      </c>
      <c r="C49">
        <v>46</v>
      </c>
      <c r="D49">
        <v>47</v>
      </c>
      <c r="E49">
        <v>105</v>
      </c>
      <c r="F49">
        <v>87</v>
      </c>
      <c r="G49">
        <v>43</v>
      </c>
      <c r="H49">
        <v>48</v>
      </c>
      <c r="I49">
        <v>63</v>
      </c>
    </row>
    <row r="50" spans="1:14" x14ac:dyDescent="0.25">
      <c r="A50" s="22" t="s">
        <v>46</v>
      </c>
      <c r="B50" s="23"/>
      <c r="C50" s="23"/>
      <c r="D50" s="23"/>
      <c r="E50" s="23"/>
      <c r="F50" s="23"/>
      <c r="G50" s="23"/>
      <c r="H50" s="23"/>
      <c r="I50" s="23"/>
      <c r="J50" s="23">
        <v>52</v>
      </c>
      <c r="K50" s="23">
        <v>25</v>
      </c>
      <c r="L50" s="23">
        <v>22</v>
      </c>
      <c r="M50" s="23">
        <v>15</v>
      </c>
      <c r="N50" s="23"/>
    </row>
    <row r="51" spans="1:14" x14ac:dyDescent="0.25">
      <c r="A51" s="22" t="s">
        <v>47</v>
      </c>
      <c r="B51" s="23"/>
      <c r="C51" s="23"/>
      <c r="D51" s="23"/>
      <c r="E51" s="23"/>
      <c r="F51" s="23"/>
      <c r="G51" s="23"/>
      <c r="H51" s="23"/>
      <c r="I51" s="23"/>
      <c r="J51" s="23">
        <v>45</v>
      </c>
      <c r="K51" s="23">
        <v>41</v>
      </c>
      <c r="L51" s="23">
        <v>31</v>
      </c>
      <c r="M51" s="23">
        <v>26</v>
      </c>
      <c r="N51" s="23"/>
    </row>
    <row r="52" spans="1:14" x14ac:dyDescent="0.25">
      <c r="A52" s="22" t="s">
        <v>48</v>
      </c>
      <c r="B52" s="23">
        <v>12</v>
      </c>
      <c r="C52" s="23">
        <v>7</v>
      </c>
      <c r="D52" s="23">
        <v>12</v>
      </c>
      <c r="E52" s="23">
        <v>15</v>
      </c>
      <c r="F52" s="23">
        <v>19</v>
      </c>
      <c r="G52" s="23">
        <v>22</v>
      </c>
      <c r="H52" s="23">
        <v>15</v>
      </c>
      <c r="I52" s="23">
        <v>16</v>
      </c>
      <c r="J52" s="23">
        <v>39</v>
      </c>
      <c r="K52" s="23">
        <v>15</v>
      </c>
      <c r="L52" s="23">
        <v>31</v>
      </c>
      <c r="M52" s="23">
        <v>12</v>
      </c>
      <c r="N52" s="23"/>
    </row>
    <row r="53" spans="1:14" x14ac:dyDescent="0.25">
      <c r="A53" s="22" t="s">
        <v>49</v>
      </c>
      <c r="B53" s="23">
        <v>2</v>
      </c>
      <c r="C53" s="23"/>
      <c r="D53" s="23"/>
      <c r="E53" s="23">
        <v>1</v>
      </c>
      <c r="F53" s="23">
        <v>5</v>
      </c>
      <c r="G53" s="23">
        <v>2</v>
      </c>
      <c r="H53" s="23">
        <v>2</v>
      </c>
      <c r="I53" s="23">
        <v>2</v>
      </c>
      <c r="J53" s="23">
        <v>9</v>
      </c>
      <c r="K53" s="23">
        <v>10</v>
      </c>
      <c r="L53" s="23">
        <v>2</v>
      </c>
      <c r="M53" s="23">
        <v>3</v>
      </c>
      <c r="N53" s="23"/>
    </row>
    <row r="54" spans="1:14" x14ac:dyDescent="0.25">
      <c r="A54" s="22" t="s">
        <v>50</v>
      </c>
      <c r="B54" s="23">
        <v>25</v>
      </c>
      <c r="C54" s="23">
        <v>63</v>
      </c>
      <c r="D54" s="23">
        <v>38</v>
      </c>
      <c r="E54" s="23">
        <v>15</v>
      </c>
      <c r="F54" s="23">
        <v>16</v>
      </c>
      <c r="G54" s="23">
        <v>2</v>
      </c>
      <c r="H54" s="23">
        <v>22</v>
      </c>
      <c r="I54" s="23">
        <v>32</v>
      </c>
      <c r="J54" s="23">
        <v>23</v>
      </c>
      <c r="K54" s="23">
        <v>40</v>
      </c>
      <c r="L54" s="23">
        <v>8</v>
      </c>
      <c r="M54" s="23">
        <v>5</v>
      </c>
      <c r="N54" s="23"/>
    </row>
    <row r="55" spans="1:14" x14ac:dyDescent="0.25">
      <c r="A55" s="22" t="s">
        <v>51</v>
      </c>
      <c r="B55" s="23">
        <v>1</v>
      </c>
      <c r="C55" s="23">
        <v>2</v>
      </c>
      <c r="D55" s="23"/>
      <c r="E55" s="23"/>
      <c r="F55" s="23"/>
      <c r="G55" s="23">
        <v>2</v>
      </c>
      <c r="H55" s="23"/>
      <c r="I55" s="23">
        <v>1</v>
      </c>
      <c r="J55" s="23">
        <v>5</v>
      </c>
      <c r="K55" s="23">
        <v>5</v>
      </c>
      <c r="L55" s="23"/>
      <c r="M55" s="23">
        <v>1</v>
      </c>
      <c r="N55" s="23"/>
    </row>
    <row r="56" spans="1:14" x14ac:dyDescent="0.25">
      <c r="A56" s="22" t="s">
        <v>7</v>
      </c>
      <c r="B56" s="23"/>
      <c r="C56" s="23"/>
      <c r="D56" s="23"/>
      <c r="E56" s="23"/>
      <c r="F56" s="23"/>
      <c r="G56" s="23"/>
      <c r="H56" s="23"/>
      <c r="I56" s="23"/>
      <c r="J56" s="23">
        <v>17</v>
      </c>
      <c r="K56" s="23">
        <v>25</v>
      </c>
      <c r="L56" s="23">
        <v>13</v>
      </c>
      <c r="M56" s="23">
        <v>13</v>
      </c>
      <c r="N56" s="23"/>
    </row>
    <row r="57" spans="1:14" x14ac:dyDescent="0.25">
      <c r="A57" s="22" t="s">
        <v>74</v>
      </c>
      <c r="B57" s="23">
        <v>12</v>
      </c>
      <c r="C57" s="23">
        <v>13</v>
      </c>
      <c r="D57" s="23">
        <v>21</v>
      </c>
      <c r="E57" s="23">
        <v>16</v>
      </c>
      <c r="F57" s="23">
        <v>33</v>
      </c>
      <c r="G57" s="23">
        <v>23</v>
      </c>
      <c r="H57" s="23">
        <v>22</v>
      </c>
      <c r="I57" s="23">
        <v>33</v>
      </c>
      <c r="J57" s="23">
        <v>8</v>
      </c>
      <c r="K57" s="23">
        <v>13</v>
      </c>
      <c r="L57" s="23">
        <v>8</v>
      </c>
      <c r="M57" s="23">
        <v>3</v>
      </c>
      <c r="N57" s="23"/>
    </row>
    <row r="58" spans="1:14" x14ac:dyDescent="0.25">
      <c r="A58" s="22" t="s">
        <v>43</v>
      </c>
      <c r="B58" s="23">
        <v>8</v>
      </c>
      <c r="C58" s="23">
        <v>24</v>
      </c>
      <c r="D58" s="23">
        <v>13</v>
      </c>
      <c r="E58" s="23">
        <v>27</v>
      </c>
      <c r="F58" s="23">
        <v>80</v>
      </c>
      <c r="G58" s="23">
        <v>33</v>
      </c>
      <c r="H58" s="23">
        <v>44</v>
      </c>
      <c r="I58" s="23">
        <v>90</v>
      </c>
      <c r="J58" s="23">
        <v>28</v>
      </c>
      <c r="K58" s="23">
        <v>18</v>
      </c>
      <c r="L58" s="23">
        <v>10</v>
      </c>
      <c r="M58" s="23">
        <v>5</v>
      </c>
      <c r="N58" s="23"/>
    </row>
    <row r="59" spans="1:14" x14ac:dyDescent="0.25">
      <c r="A59" s="22" t="s">
        <v>44</v>
      </c>
      <c r="B59" s="23">
        <v>7</v>
      </c>
      <c r="C59" s="23"/>
      <c r="D59" s="23">
        <v>8</v>
      </c>
      <c r="E59" s="23">
        <v>10</v>
      </c>
      <c r="F59" s="23">
        <v>19</v>
      </c>
      <c r="G59" s="23">
        <v>19</v>
      </c>
      <c r="H59" s="23">
        <v>34</v>
      </c>
      <c r="I59" s="23">
        <v>22</v>
      </c>
      <c r="J59" s="23">
        <v>5</v>
      </c>
      <c r="K59" s="23">
        <v>3</v>
      </c>
      <c r="L59" s="23">
        <v>2</v>
      </c>
      <c r="M59" s="23"/>
      <c r="N59" s="23"/>
    </row>
    <row r="60" spans="1:14" x14ac:dyDescent="0.25">
      <c r="A60" s="22" t="s">
        <v>11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5">
      <c r="A61" s="22" t="s">
        <v>75</v>
      </c>
      <c r="B61" s="23">
        <v>10</v>
      </c>
      <c r="C61" s="23">
        <v>8</v>
      </c>
      <c r="D61" s="23">
        <v>10</v>
      </c>
      <c r="E61" s="23">
        <v>11</v>
      </c>
      <c r="F61" s="23">
        <v>10</v>
      </c>
      <c r="G61" s="23">
        <v>7</v>
      </c>
      <c r="H61" s="23">
        <v>9</v>
      </c>
      <c r="I61" s="23">
        <v>3</v>
      </c>
      <c r="J61" s="23">
        <v>9</v>
      </c>
      <c r="K61" s="23">
        <v>7</v>
      </c>
      <c r="L61" s="23"/>
      <c r="M61" s="23">
        <v>10</v>
      </c>
      <c r="N61" s="23"/>
    </row>
    <row r="62" spans="1:14" x14ac:dyDescent="0.25">
      <c r="A62" s="22" t="s">
        <v>81</v>
      </c>
      <c r="B62" s="23">
        <v>590</v>
      </c>
      <c r="C62" s="23">
        <v>576</v>
      </c>
      <c r="D62" s="23">
        <v>621</v>
      </c>
      <c r="E62" s="23">
        <v>630</v>
      </c>
      <c r="F62" s="23">
        <v>713</v>
      </c>
      <c r="G62" s="23">
        <v>672</v>
      </c>
      <c r="H62" s="23">
        <v>721</v>
      </c>
      <c r="I62" s="23">
        <v>708</v>
      </c>
      <c r="J62" s="23">
        <v>674</v>
      </c>
      <c r="K62" s="23">
        <v>662</v>
      </c>
      <c r="L62" s="23">
        <v>630</v>
      </c>
      <c r="M62" s="23">
        <v>624</v>
      </c>
      <c r="N62" s="23"/>
    </row>
    <row r="63" spans="1:14" x14ac:dyDescent="0.25">
      <c r="A63" s="22" t="s">
        <v>82</v>
      </c>
      <c r="B63" s="23">
        <v>351</v>
      </c>
      <c r="C63" s="23">
        <v>371</v>
      </c>
      <c r="D63" s="23">
        <v>613</v>
      </c>
      <c r="E63" s="23">
        <v>493</v>
      </c>
      <c r="F63" s="23">
        <v>650</v>
      </c>
      <c r="G63" s="23">
        <v>471</v>
      </c>
      <c r="H63" s="23">
        <v>559</v>
      </c>
      <c r="I63" s="23">
        <v>493</v>
      </c>
      <c r="J63" s="23">
        <v>331</v>
      </c>
      <c r="K63" s="23">
        <v>290</v>
      </c>
      <c r="L63" s="23">
        <v>494</v>
      </c>
      <c r="M63" s="23">
        <v>332</v>
      </c>
      <c r="N63" s="23"/>
    </row>
    <row r="64" spans="1:14" x14ac:dyDescent="0.25">
      <c r="A64" s="22" t="s">
        <v>83</v>
      </c>
      <c r="B64" s="23">
        <v>734</v>
      </c>
      <c r="C64" s="23">
        <v>688</v>
      </c>
      <c r="D64" s="23">
        <v>677</v>
      </c>
      <c r="E64" s="23">
        <v>483</v>
      </c>
      <c r="F64" s="23">
        <v>717</v>
      </c>
      <c r="G64" s="23">
        <v>183</v>
      </c>
      <c r="H64" s="23"/>
      <c r="I64" s="23">
        <v>3</v>
      </c>
      <c r="J64" s="23">
        <v>546</v>
      </c>
      <c r="K64" s="23">
        <v>722</v>
      </c>
      <c r="L64" s="23">
        <v>494</v>
      </c>
      <c r="M64" s="23">
        <v>509</v>
      </c>
      <c r="N64" s="23"/>
    </row>
    <row r="65" spans="1:14" x14ac:dyDescent="0.25">
      <c r="A65" s="22" t="s">
        <v>52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 x14ac:dyDescent="0.25">
      <c r="A66" s="22" t="s">
        <v>13</v>
      </c>
    </row>
    <row r="67" spans="1:14" x14ac:dyDescent="0.25">
      <c r="A67" s="22"/>
    </row>
    <row r="68" spans="1:14" x14ac:dyDescent="0.25">
      <c r="A68" s="13" t="s">
        <v>25</v>
      </c>
    </row>
  </sheetData>
  <phoneticPr fontId="0" type="noConversion"/>
  <pageMargins left="0.75" right="0.75" top="1" bottom="1" header="0.5" footer="0.5"/>
  <pageSetup scale="4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3"/>
  <sheetViews>
    <sheetView workbookViewId="0">
      <selection activeCell="E36" sqref="E36"/>
    </sheetView>
  </sheetViews>
  <sheetFormatPr defaultRowHeight="15" x14ac:dyDescent="0.25"/>
  <cols>
    <col min="1" max="1" width="16.25" customWidth="1"/>
    <col min="2" max="2" width="13.08203125" bestFit="1" customWidth="1"/>
    <col min="8" max="8" width="9.08203125" bestFit="1" customWidth="1"/>
  </cols>
  <sheetData>
    <row r="1" spans="1:9" x14ac:dyDescent="0.25">
      <c r="B1" s="58">
        <v>2005</v>
      </c>
      <c r="C1" s="58">
        <v>2006</v>
      </c>
      <c r="D1" s="58">
        <v>2007</v>
      </c>
      <c r="E1" s="58">
        <v>2008</v>
      </c>
      <c r="F1" s="58">
        <v>2009</v>
      </c>
      <c r="G1" s="58">
        <v>2010</v>
      </c>
      <c r="H1" s="58">
        <v>2011</v>
      </c>
    </row>
    <row r="2" spans="1:9" x14ac:dyDescent="0.25">
      <c r="A2" s="57" t="s">
        <v>202</v>
      </c>
      <c r="B2" s="59">
        <f>'2005'!N42</f>
        <v>374990.2</v>
      </c>
      <c r="C2" s="59">
        <f>'2006'!N48</f>
        <v>632184.1</v>
      </c>
      <c r="D2" s="59">
        <f>'2007'!N49</f>
        <v>622626.65</v>
      </c>
      <c r="E2" s="59">
        <f>'2008'!N64</f>
        <v>648187.4</v>
      </c>
      <c r="F2" s="59">
        <f>'2009'!N56</f>
        <v>701541.8</v>
      </c>
      <c r="G2" s="59">
        <f>'2010'!N56</f>
        <v>675247.6</v>
      </c>
      <c r="H2" s="63">
        <f>+'2011'!N60</f>
        <v>611681.5</v>
      </c>
      <c r="I2" s="57"/>
    </row>
    <row r="3" spans="1:9" x14ac:dyDescent="0.25">
      <c r="A3" s="57" t="s">
        <v>203</v>
      </c>
      <c r="B3" s="59">
        <f>'2005'!N43</f>
        <v>101501.25</v>
      </c>
      <c r="C3" s="59">
        <f>'2006'!N49</f>
        <v>156325</v>
      </c>
      <c r="D3" s="59">
        <f>'2007'!N50</f>
        <v>158401</v>
      </c>
      <c r="E3" s="59">
        <f>'2008'!N65</f>
        <v>179038</v>
      </c>
      <c r="F3" s="59">
        <f>'2009'!N57</f>
        <v>186744</v>
      </c>
      <c r="G3" s="59">
        <f>'2010'!N57</f>
        <v>177971.5</v>
      </c>
      <c r="H3" s="62">
        <f>+'2011'!N61</f>
        <v>180215.9</v>
      </c>
      <c r="I3" s="57"/>
    </row>
  </sheetData>
  <phoneticPr fontId="14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1"/>
  <sheetViews>
    <sheetView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M1" sqref="M1"/>
    </sheetView>
  </sheetViews>
  <sheetFormatPr defaultColWidth="8.33203125" defaultRowHeight="15" x14ac:dyDescent="0.25"/>
  <cols>
    <col min="1" max="1" width="29.08203125" bestFit="1" customWidth="1"/>
    <col min="2" max="2" width="10.08203125" customWidth="1"/>
    <col min="3" max="3" width="9.75" customWidth="1"/>
    <col min="4" max="4" width="10.33203125" customWidth="1"/>
    <col min="5" max="5" width="9.9140625" customWidth="1"/>
    <col min="6" max="6" width="11" customWidth="1"/>
    <col min="7" max="8" width="10" customWidth="1"/>
    <col min="9" max="9" width="10.08203125" customWidth="1"/>
    <col min="10" max="10" width="10" customWidth="1"/>
    <col min="11" max="11" width="10.6640625" customWidth="1"/>
    <col min="12" max="12" width="10.08203125" customWidth="1"/>
    <col min="13" max="13" width="9.08203125" customWidth="1"/>
    <col min="14" max="14" width="11.9140625" customWidth="1"/>
  </cols>
  <sheetData>
    <row r="1" spans="1:15" ht="18.600000000000001" x14ac:dyDescent="0.45">
      <c r="A1" s="3" t="s">
        <v>233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223</v>
      </c>
      <c r="B4" s="51">
        <v>0</v>
      </c>
      <c r="C4" s="43">
        <v>0</v>
      </c>
      <c r="D4" s="43">
        <v>240</v>
      </c>
      <c r="E4" s="43">
        <v>600</v>
      </c>
      <c r="F4" s="43">
        <f>900+2880</f>
        <v>3780</v>
      </c>
      <c r="G4" s="43">
        <v>1080</v>
      </c>
      <c r="H4" s="43">
        <v>840</v>
      </c>
      <c r="I4" s="43">
        <v>1320</v>
      </c>
      <c r="J4" s="43">
        <v>840</v>
      </c>
      <c r="K4" s="43">
        <v>1440</v>
      </c>
      <c r="L4" s="43">
        <v>1560</v>
      </c>
      <c r="M4" s="43">
        <v>1800</v>
      </c>
      <c r="N4" s="52">
        <f t="shared" ref="N4:N52" si="0">SUM(B4:M4)</f>
        <v>13500</v>
      </c>
      <c r="O4" s="44">
        <f>N4/$N$52</f>
        <v>1.0439620137021948E-2</v>
      </c>
    </row>
    <row r="5" spans="1:15" s="54" customFormat="1" ht="16.8" x14ac:dyDescent="0.4">
      <c r="A5" s="42" t="s">
        <v>222</v>
      </c>
      <c r="B5" s="43">
        <f>360-60</f>
        <v>300</v>
      </c>
      <c r="C5" s="43">
        <v>100</v>
      </c>
      <c r="D5" s="43">
        <v>0</v>
      </c>
      <c r="E5" s="43">
        <v>400</v>
      </c>
      <c r="F5" s="43">
        <v>3580</v>
      </c>
      <c r="G5" s="43">
        <v>500</v>
      </c>
      <c r="H5" s="43">
        <v>220</v>
      </c>
      <c r="I5" s="43">
        <v>600</v>
      </c>
      <c r="J5" s="43">
        <v>400</v>
      </c>
      <c r="K5" s="43">
        <v>1200</v>
      </c>
      <c r="L5" s="43">
        <v>200</v>
      </c>
      <c r="M5" s="43">
        <v>500</v>
      </c>
      <c r="N5" s="52">
        <f t="shared" si="0"/>
        <v>8000</v>
      </c>
      <c r="O5" s="44">
        <f t="shared" ref="O5:O52" si="1">N5/$N$52</f>
        <v>6.1864415626796728E-3</v>
      </c>
    </row>
    <row r="6" spans="1:15" s="54" customFormat="1" ht="16.8" x14ac:dyDescent="0.4">
      <c r="A6" s="42" t="s">
        <v>214</v>
      </c>
      <c r="B6" s="43">
        <f>14112-1872</f>
        <v>12240</v>
      </c>
      <c r="C6" s="43">
        <v>13524</v>
      </c>
      <c r="D6" s="43">
        <v>9800</v>
      </c>
      <c r="E6" s="43">
        <v>6860</v>
      </c>
      <c r="F6" s="43">
        <v>78204</v>
      </c>
      <c r="G6" s="43">
        <v>17640</v>
      </c>
      <c r="H6" s="43">
        <v>16856</v>
      </c>
      <c r="I6" s="43">
        <v>14112</v>
      </c>
      <c r="J6" s="43">
        <v>19012</v>
      </c>
      <c r="K6" s="43">
        <v>17248</v>
      </c>
      <c r="L6" s="43">
        <v>16268</v>
      </c>
      <c r="M6" s="43">
        <v>17052</v>
      </c>
      <c r="N6" s="52">
        <f t="shared" si="0"/>
        <v>238816</v>
      </c>
      <c r="O6" s="44">
        <f t="shared" si="1"/>
        <v>0.18467765352911358</v>
      </c>
    </row>
    <row r="7" spans="1:15" s="54" customFormat="1" ht="16.8" x14ac:dyDescent="0.4">
      <c r="A7" s="42" t="s">
        <v>110</v>
      </c>
      <c r="B7" s="51">
        <v>0</v>
      </c>
      <c r="C7" s="51">
        <v>0</v>
      </c>
      <c r="D7" s="51">
        <v>0</v>
      </c>
      <c r="E7" s="51">
        <v>0</v>
      </c>
      <c r="F7" s="51">
        <v>234</v>
      </c>
      <c r="G7" s="51">
        <v>234</v>
      </c>
      <c r="H7" s="51">
        <v>468</v>
      </c>
      <c r="I7" s="51">
        <v>0</v>
      </c>
      <c r="J7" s="51">
        <v>234</v>
      </c>
      <c r="K7" s="51">
        <v>0</v>
      </c>
      <c r="L7" s="51">
        <v>0</v>
      </c>
      <c r="M7" s="51">
        <v>0</v>
      </c>
      <c r="N7" s="52">
        <f t="shared" si="0"/>
        <v>1170</v>
      </c>
      <c r="O7" s="44">
        <f t="shared" si="1"/>
        <v>9.0476707854190215E-4</v>
      </c>
    </row>
    <row r="8" spans="1:15" s="54" customFormat="1" ht="16.8" x14ac:dyDescent="0.4">
      <c r="A8" s="42" t="s">
        <v>215</v>
      </c>
      <c r="B8" s="51">
        <f>16068-2060</f>
        <v>14008</v>
      </c>
      <c r="C8" s="51">
        <v>15600</v>
      </c>
      <c r="D8" s="51">
        <v>11700</v>
      </c>
      <c r="E8" s="51">
        <v>12636</v>
      </c>
      <c r="F8" s="51">
        <v>63024</v>
      </c>
      <c r="G8" s="51">
        <v>10920</v>
      </c>
      <c r="H8" s="51">
        <v>12792</v>
      </c>
      <c r="I8" s="51">
        <v>14040</v>
      </c>
      <c r="J8" s="51">
        <v>15912</v>
      </c>
      <c r="K8" s="51">
        <v>14508</v>
      </c>
      <c r="L8" s="51">
        <v>16068</v>
      </c>
      <c r="M8" s="51">
        <v>15912</v>
      </c>
      <c r="N8" s="52">
        <f t="shared" si="0"/>
        <v>217120</v>
      </c>
      <c r="O8" s="44">
        <f t="shared" si="1"/>
        <v>0.1679000240111263</v>
      </c>
    </row>
    <row r="9" spans="1:15" s="54" customFormat="1" ht="16.8" x14ac:dyDescent="0.4">
      <c r="A9" s="42" t="s">
        <v>216</v>
      </c>
      <c r="B9" s="51">
        <v>0</v>
      </c>
      <c r="C9" s="51">
        <v>0</v>
      </c>
      <c r="D9" s="51">
        <v>0</v>
      </c>
      <c r="E9" s="51">
        <v>0</v>
      </c>
      <c r="F9" s="51">
        <v>196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2">
        <f t="shared" si="0"/>
        <v>196</v>
      </c>
      <c r="O9" s="44">
        <f t="shared" si="1"/>
        <v>1.5156781828565199E-4</v>
      </c>
    </row>
    <row r="10" spans="1:15" s="54" customFormat="1" ht="16.8" x14ac:dyDescent="0.4">
      <c r="A10" s="42" t="s">
        <v>156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f t="shared" si="0"/>
        <v>0</v>
      </c>
      <c r="O10" s="44">
        <f t="shared" si="1"/>
        <v>0</v>
      </c>
    </row>
    <row r="11" spans="1:15" s="54" customFormat="1" ht="16.8" x14ac:dyDescent="0.4">
      <c r="A11" s="42" t="s">
        <v>184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f t="shared" si="0"/>
        <v>0</v>
      </c>
      <c r="O11" s="44">
        <f t="shared" si="1"/>
        <v>0</v>
      </c>
    </row>
    <row r="12" spans="1:15" s="54" customFormat="1" ht="16.8" x14ac:dyDescent="0.4">
      <c r="A12" s="42" t="s">
        <v>231</v>
      </c>
      <c r="B12" s="52">
        <f>6083-790</f>
        <v>5293</v>
      </c>
      <c r="C12" s="52">
        <v>6545</v>
      </c>
      <c r="D12" s="52">
        <v>4235</v>
      </c>
      <c r="E12" s="52">
        <v>2156</v>
      </c>
      <c r="F12" s="52">
        <v>23254</v>
      </c>
      <c r="G12" s="52">
        <v>5621</v>
      </c>
      <c r="H12" s="52">
        <v>6237</v>
      </c>
      <c r="I12" s="52">
        <v>6776</v>
      </c>
      <c r="J12" s="52">
        <v>6468</v>
      </c>
      <c r="K12" s="52">
        <v>6545</v>
      </c>
      <c r="L12" s="52">
        <v>4235</v>
      </c>
      <c r="M12" s="52">
        <v>5390</v>
      </c>
      <c r="N12" s="52">
        <f t="shared" si="0"/>
        <v>82755</v>
      </c>
      <c r="O12" s="44">
        <f t="shared" si="1"/>
        <v>6.3994871439944534E-2</v>
      </c>
    </row>
    <row r="13" spans="1:15" s="54" customFormat="1" ht="16.8" x14ac:dyDescent="0.4">
      <c r="A13" s="42" t="s">
        <v>157</v>
      </c>
      <c r="B13" s="52">
        <v>0</v>
      </c>
      <c r="C13" s="52">
        <v>0</v>
      </c>
      <c r="D13" s="52">
        <v>0</v>
      </c>
      <c r="E13" s="52">
        <v>0</v>
      </c>
      <c r="F13" s="52">
        <v>3570</v>
      </c>
      <c r="G13" s="52">
        <v>9520</v>
      </c>
      <c r="H13" s="52">
        <v>15385</v>
      </c>
      <c r="I13" s="52">
        <v>16785</v>
      </c>
      <c r="J13" s="52">
        <v>11955</v>
      </c>
      <c r="K13" s="52">
        <v>0</v>
      </c>
      <c r="L13" s="52">
        <v>0</v>
      </c>
      <c r="M13" s="52">
        <v>0</v>
      </c>
      <c r="N13" s="52">
        <f t="shared" si="0"/>
        <v>57215</v>
      </c>
      <c r="O13" s="44">
        <f t="shared" si="1"/>
        <v>4.4244656751089684E-2</v>
      </c>
    </row>
    <row r="14" spans="1:15" s="54" customFormat="1" ht="16.8" x14ac:dyDescent="0.4">
      <c r="A14" s="42" t="s">
        <v>180</v>
      </c>
      <c r="B14" s="52">
        <f>6140-1535</f>
        <v>4605</v>
      </c>
      <c r="C14" s="52">
        <v>8676</v>
      </c>
      <c r="D14" s="52">
        <v>4776</v>
      </c>
      <c r="E14" s="52">
        <v>0</v>
      </c>
      <c r="F14" s="52">
        <v>2728</v>
      </c>
      <c r="G14" s="52">
        <v>0</v>
      </c>
      <c r="H14" s="52">
        <v>0</v>
      </c>
      <c r="I14" s="52">
        <v>0</v>
      </c>
      <c r="J14" s="52">
        <v>0</v>
      </c>
      <c r="K14" s="52">
        <v>6992</v>
      </c>
      <c r="L14" s="52">
        <v>5684</v>
      </c>
      <c r="M14" s="52">
        <v>6308</v>
      </c>
      <c r="N14" s="52">
        <f t="shared" si="0"/>
        <v>39769</v>
      </c>
      <c r="O14" s="44">
        <f t="shared" si="1"/>
        <v>3.0753574313275987E-2</v>
      </c>
    </row>
    <row r="15" spans="1:15" s="54" customFormat="1" ht="16.8" x14ac:dyDescent="0.4">
      <c r="A15" s="42" t="s">
        <v>113</v>
      </c>
      <c r="B15" s="52">
        <v>0</v>
      </c>
      <c r="C15" s="52">
        <v>0</v>
      </c>
      <c r="D15" s="52">
        <v>0</v>
      </c>
      <c r="E15" s="52">
        <v>0</v>
      </c>
      <c r="F15" s="52">
        <v>14265</v>
      </c>
      <c r="G15" s="52">
        <v>34620</v>
      </c>
      <c r="H15" s="52">
        <v>46860</v>
      </c>
      <c r="I15" s="52">
        <v>47640</v>
      </c>
      <c r="J15" s="52">
        <v>35985</v>
      </c>
      <c r="K15" s="52">
        <v>0</v>
      </c>
      <c r="L15" s="52">
        <v>0</v>
      </c>
      <c r="M15" s="52">
        <v>0</v>
      </c>
      <c r="N15" s="52">
        <f t="shared" si="0"/>
        <v>179370</v>
      </c>
      <c r="O15" s="44">
        <f t="shared" si="1"/>
        <v>0.13870775288723161</v>
      </c>
    </row>
    <row r="16" spans="1:15" s="54" customFormat="1" ht="16.8" x14ac:dyDescent="0.4">
      <c r="A16" s="42" t="s">
        <v>179</v>
      </c>
      <c r="B16" s="52">
        <f>21624-3604</f>
        <v>18020</v>
      </c>
      <c r="C16" s="52">
        <v>27216</v>
      </c>
      <c r="D16" s="52">
        <v>17892</v>
      </c>
      <c r="E16" s="52">
        <v>0</v>
      </c>
      <c r="F16" s="52">
        <v>12288</v>
      </c>
      <c r="G16" s="52">
        <v>0</v>
      </c>
      <c r="H16" s="52">
        <v>0</v>
      </c>
      <c r="I16" s="52">
        <v>0</v>
      </c>
      <c r="J16" s="52">
        <v>0</v>
      </c>
      <c r="K16" s="52">
        <v>27432</v>
      </c>
      <c r="L16" s="52">
        <v>21636</v>
      </c>
      <c r="M16" s="52">
        <v>25164</v>
      </c>
      <c r="N16" s="52">
        <f t="shared" si="0"/>
        <v>149648</v>
      </c>
      <c r="O16" s="44">
        <f t="shared" si="1"/>
        <v>0.11572357587148596</v>
      </c>
    </row>
    <row r="17" spans="1:15" s="54" customFormat="1" ht="16.8" x14ac:dyDescent="0.4">
      <c r="A17" s="42" t="s">
        <v>114</v>
      </c>
      <c r="B17" s="52">
        <f>500</f>
        <v>500</v>
      </c>
      <c r="C17" s="52">
        <f>120+500</f>
        <v>620</v>
      </c>
      <c r="D17" s="52">
        <v>120</v>
      </c>
      <c r="E17" s="52">
        <v>0</v>
      </c>
      <c r="F17" s="52">
        <v>0</v>
      </c>
      <c r="G17" s="52">
        <v>0</v>
      </c>
      <c r="H17" s="52">
        <v>240</v>
      </c>
      <c r="I17" s="52">
        <v>640</v>
      </c>
      <c r="J17" s="52">
        <v>620</v>
      </c>
      <c r="K17" s="52">
        <v>500</v>
      </c>
      <c r="L17" s="52">
        <v>500</v>
      </c>
      <c r="M17" s="52">
        <v>0</v>
      </c>
      <c r="N17" s="52">
        <f t="shared" si="0"/>
        <v>3740</v>
      </c>
      <c r="O17" s="44">
        <f t="shared" si="1"/>
        <v>2.892161430552747E-3</v>
      </c>
    </row>
    <row r="18" spans="1:15" s="54" customFormat="1" ht="16.8" x14ac:dyDescent="0.4">
      <c r="A18" s="42" t="s">
        <v>7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f t="shared" si="0"/>
        <v>0</v>
      </c>
      <c r="O18" s="44">
        <f t="shared" si="1"/>
        <v>0</v>
      </c>
    </row>
    <row r="19" spans="1:15" s="54" customFormat="1" ht="16.8" x14ac:dyDescent="0.4">
      <c r="A19" s="42" t="s">
        <v>158</v>
      </c>
      <c r="B19" s="52">
        <v>0</v>
      </c>
      <c r="C19" s="52">
        <v>0</v>
      </c>
      <c r="D19" s="52">
        <v>0</v>
      </c>
      <c r="E19" s="52">
        <v>0</v>
      </c>
      <c r="F19" s="52">
        <v>80</v>
      </c>
      <c r="G19" s="52">
        <v>210</v>
      </c>
      <c r="H19" s="52">
        <v>240</v>
      </c>
      <c r="I19" s="52">
        <v>400</v>
      </c>
      <c r="J19" s="52">
        <v>320</v>
      </c>
      <c r="K19" s="52">
        <v>0</v>
      </c>
      <c r="L19" s="52">
        <v>0</v>
      </c>
      <c r="M19" s="52">
        <v>0</v>
      </c>
      <c r="N19" s="52">
        <f t="shared" si="0"/>
        <v>1250</v>
      </c>
      <c r="O19" s="44">
        <f t="shared" si="1"/>
        <v>9.6663149416869882E-4</v>
      </c>
    </row>
    <row r="20" spans="1:15" s="54" customFormat="1" ht="16.8" x14ac:dyDescent="0.4">
      <c r="A20" s="42" t="s">
        <v>185</v>
      </c>
      <c r="B20" s="52">
        <f>7-1</f>
        <v>6</v>
      </c>
      <c r="C20" s="52">
        <v>0</v>
      </c>
      <c r="D20" s="52">
        <v>7</v>
      </c>
      <c r="E20" s="52">
        <v>0</v>
      </c>
      <c r="F20" s="52">
        <v>49</v>
      </c>
      <c r="G20" s="52">
        <v>0</v>
      </c>
      <c r="H20" s="52">
        <v>0</v>
      </c>
      <c r="I20" s="52">
        <v>0</v>
      </c>
      <c r="J20" s="52">
        <v>0</v>
      </c>
      <c r="K20" s="52">
        <v>91</v>
      </c>
      <c r="L20" s="52">
        <v>35</v>
      </c>
      <c r="M20" s="52">
        <v>0</v>
      </c>
      <c r="N20" s="52">
        <f t="shared" si="0"/>
        <v>188</v>
      </c>
      <c r="O20" s="44">
        <f t="shared" si="1"/>
        <v>1.453813767229723E-4</v>
      </c>
    </row>
    <row r="21" spans="1:15" s="54" customFormat="1" ht="16.8" x14ac:dyDescent="0.4">
      <c r="A21" s="42" t="s">
        <v>10</v>
      </c>
      <c r="B21" s="52">
        <f>99</f>
        <v>99</v>
      </c>
      <c r="C21" s="52">
        <v>93.5</v>
      </c>
      <c r="D21" s="52">
        <v>55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f>SUM(B21:M21)</f>
        <v>247.5</v>
      </c>
      <c r="O21" s="44">
        <f t="shared" si="1"/>
        <v>1.9139303584540237E-4</v>
      </c>
    </row>
    <row r="22" spans="1:15" s="54" customFormat="1" ht="16.8" x14ac:dyDescent="0.4">
      <c r="A22" s="42" t="s">
        <v>11</v>
      </c>
      <c r="B22" s="52">
        <f>16-4</f>
        <v>12</v>
      </c>
      <c r="C22" s="52">
        <v>8</v>
      </c>
      <c r="D22" s="52">
        <v>0</v>
      </c>
      <c r="E22" s="52">
        <v>0</v>
      </c>
      <c r="F22" s="52">
        <v>8</v>
      </c>
      <c r="G22" s="52">
        <v>24</v>
      </c>
      <c r="H22" s="52">
        <v>64</v>
      </c>
      <c r="I22" s="52">
        <v>0</v>
      </c>
      <c r="J22" s="52">
        <v>176</v>
      </c>
      <c r="K22" s="52">
        <v>24</v>
      </c>
      <c r="L22" s="52">
        <v>0</v>
      </c>
      <c r="M22" s="52">
        <v>120</v>
      </c>
      <c r="N22" s="52">
        <f t="shared" si="0"/>
        <v>436</v>
      </c>
      <c r="O22" s="44">
        <f t="shared" si="1"/>
        <v>3.3716106516604215E-4</v>
      </c>
    </row>
    <row r="23" spans="1:15" s="54" customFormat="1" ht="16.8" x14ac:dyDescent="0.4">
      <c r="A23" s="42" t="s">
        <v>159</v>
      </c>
      <c r="B23" s="52">
        <v>0</v>
      </c>
      <c r="C23" s="52">
        <v>0</v>
      </c>
      <c r="D23" s="52">
        <v>0</v>
      </c>
      <c r="E23" s="52">
        <v>0</v>
      </c>
      <c r="F23" s="52">
        <v>2172</v>
      </c>
      <c r="G23" s="52">
        <v>6468</v>
      </c>
      <c r="H23" s="52">
        <v>7068</v>
      </c>
      <c r="I23" s="52">
        <v>8364</v>
      </c>
      <c r="J23" s="52">
        <v>7488</v>
      </c>
      <c r="K23" s="52">
        <v>0</v>
      </c>
      <c r="L23" s="52">
        <v>0</v>
      </c>
      <c r="M23" s="52">
        <v>0</v>
      </c>
      <c r="N23" s="52">
        <f>SUM(B23:M23)</f>
        <v>31560</v>
      </c>
      <c r="O23" s="44">
        <f t="shared" si="1"/>
        <v>2.4405511964771309E-2</v>
      </c>
    </row>
    <row r="24" spans="1:15" s="54" customFormat="1" ht="16.8" x14ac:dyDescent="0.4">
      <c r="A24" s="42" t="s">
        <v>181</v>
      </c>
      <c r="B24" s="52">
        <f>5550-1110</f>
        <v>4440</v>
      </c>
      <c r="C24" s="52">
        <v>7380</v>
      </c>
      <c r="D24" s="52">
        <v>5110</v>
      </c>
      <c r="E24" s="52">
        <v>0</v>
      </c>
      <c r="F24" s="52">
        <v>2870</v>
      </c>
      <c r="G24" s="52">
        <v>0</v>
      </c>
      <c r="H24" s="52">
        <v>0</v>
      </c>
      <c r="I24" s="52">
        <v>0</v>
      </c>
      <c r="J24" s="52">
        <v>0</v>
      </c>
      <c r="K24" s="52">
        <v>5700</v>
      </c>
      <c r="L24" s="52">
        <v>4310</v>
      </c>
      <c r="M24" s="52">
        <v>4320</v>
      </c>
      <c r="N24" s="52">
        <f>SUM(B24:M24)</f>
        <v>34130</v>
      </c>
      <c r="O24" s="44">
        <f t="shared" si="1"/>
        <v>2.6392906316782153E-2</v>
      </c>
    </row>
    <row r="25" spans="1:15" s="54" customFormat="1" ht="16.8" x14ac:dyDescent="0.4">
      <c r="A25" s="42" t="s">
        <v>211</v>
      </c>
      <c r="B25" s="52">
        <v>0</v>
      </c>
      <c r="C25" s="52">
        <v>0</v>
      </c>
      <c r="D25" s="52">
        <v>0</v>
      </c>
      <c r="E25" s="52">
        <v>0</v>
      </c>
      <c r="F25" s="52">
        <v>1101</v>
      </c>
      <c r="G25" s="52">
        <v>2829</v>
      </c>
      <c r="H25" s="52">
        <v>4848</v>
      </c>
      <c r="I25" s="52">
        <v>5241</v>
      </c>
      <c r="J25" s="52">
        <v>3147</v>
      </c>
      <c r="K25" s="52">
        <v>0</v>
      </c>
      <c r="L25" s="52">
        <v>0</v>
      </c>
      <c r="M25" s="52">
        <v>0</v>
      </c>
      <c r="N25" s="52">
        <f>SUM(B25:M25)</f>
        <v>17166</v>
      </c>
      <c r="O25" s="44">
        <f t="shared" si="1"/>
        <v>1.3274556983119908E-2</v>
      </c>
    </row>
    <row r="26" spans="1:15" s="54" customFormat="1" ht="16.8" x14ac:dyDescent="0.4">
      <c r="A26" s="42" t="s">
        <v>212</v>
      </c>
      <c r="B26" s="52">
        <f>1184</f>
        <v>1184</v>
      </c>
      <c r="C26" s="52">
        <v>2042</v>
      </c>
      <c r="D26" s="52">
        <v>1244</v>
      </c>
      <c r="E26" s="52">
        <v>0</v>
      </c>
      <c r="F26" s="52">
        <v>692</v>
      </c>
      <c r="G26" s="52">
        <v>0</v>
      </c>
      <c r="H26" s="52">
        <v>0</v>
      </c>
      <c r="I26" s="52">
        <v>0</v>
      </c>
      <c r="J26" s="52">
        <v>0</v>
      </c>
      <c r="K26" s="52">
        <v>1700</v>
      </c>
      <c r="L26" s="52">
        <v>1168</v>
      </c>
      <c r="M26" s="52">
        <v>1268</v>
      </c>
      <c r="N26" s="52">
        <f>SUM(B26:M26)</f>
        <v>9298</v>
      </c>
      <c r="O26" s="44">
        <f t="shared" si="1"/>
        <v>7.1901917062244499E-3</v>
      </c>
    </row>
    <row r="27" spans="1:15" s="54" customFormat="1" ht="16.8" x14ac:dyDescent="0.4">
      <c r="A27" s="42" t="s">
        <v>186</v>
      </c>
      <c r="B27" s="52">
        <v>0</v>
      </c>
      <c r="C27" s="52">
        <v>0</v>
      </c>
      <c r="D27" s="52">
        <v>0</v>
      </c>
      <c r="E27" s="52">
        <v>0</v>
      </c>
      <c r="F27" s="52">
        <v>9</v>
      </c>
      <c r="G27" s="52">
        <v>9</v>
      </c>
      <c r="H27" s="52">
        <v>18</v>
      </c>
      <c r="I27" s="52">
        <v>27</v>
      </c>
      <c r="J27" s="52">
        <v>63</v>
      </c>
      <c r="K27" s="52">
        <v>0</v>
      </c>
      <c r="L27" s="52">
        <v>0</v>
      </c>
      <c r="M27" s="52">
        <v>0</v>
      </c>
      <c r="N27" s="52">
        <f t="shared" si="0"/>
        <v>126</v>
      </c>
      <c r="O27" s="44">
        <f t="shared" si="1"/>
        <v>9.7436454612204849E-5</v>
      </c>
    </row>
    <row r="28" spans="1:15" s="54" customFormat="1" ht="16.8" x14ac:dyDescent="0.4">
      <c r="A28" s="42" t="s">
        <v>182</v>
      </c>
      <c r="B28" s="52">
        <v>0</v>
      </c>
      <c r="C28" s="52">
        <v>0</v>
      </c>
      <c r="D28" s="52">
        <v>0</v>
      </c>
      <c r="E28" s="52">
        <v>0</v>
      </c>
      <c r="F28" s="52">
        <v>6</v>
      </c>
      <c r="G28" s="52">
        <v>0</v>
      </c>
      <c r="H28" s="52">
        <v>0</v>
      </c>
      <c r="I28" s="52">
        <v>0</v>
      </c>
      <c r="J28" s="52">
        <v>0</v>
      </c>
      <c r="K28" s="52">
        <v>24</v>
      </c>
      <c r="L28" s="52">
        <v>18</v>
      </c>
      <c r="M28" s="52">
        <v>0</v>
      </c>
      <c r="N28" s="52">
        <f t="shared" si="0"/>
        <v>48</v>
      </c>
      <c r="O28" s="44">
        <f t="shared" si="1"/>
        <v>3.7118649376078036E-5</v>
      </c>
    </row>
    <row r="29" spans="1:15" s="54" customFormat="1" ht="16.8" x14ac:dyDescent="0.4">
      <c r="A29" s="42" t="s">
        <v>234</v>
      </c>
      <c r="B29" s="52">
        <f>2806-366</f>
        <v>2440</v>
      </c>
      <c r="C29" s="52">
        <v>2990</v>
      </c>
      <c r="D29" s="52">
        <v>2116</v>
      </c>
      <c r="E29" s="52">
        <v>2300</v>
      </c>
      <c r="F29" s="52">
        <v>13662</v>
      </c>
      <c r="G29" s="52">
        <v>2898</v>
      </c>
      <c r="H29" s="52">
        <v>3726</v>
      </c>
      <c r="I29" s="52">
        <v>3266</v>
      </c>
      <c r="J29" s="52">
        <v>3588</v>
      </c>
      <c r="K29" s="52">
        <v>2944</v>
      </c>
      <c r="L29" s="52">
        <v>2714</v>
      </c>
      <c r="M29" s="52">
        <v>2162</v>
      </c>
      <c r="N29" s="52">
        <f>SUM(B29:M29)</f>
        <v>44806</v>
      </c>
      <c r="O29" s="44">
        <f t="shared" si="1"/>
        <v>3.4648712582178179E-2</v>
      </c>
    </row>
    <row r="30" spans="1:15" s="54" customFormat="1" ht="16.8" x14ac:dyDescent="0.4">
      <c r="A30" s="42" t="s">
        <v>162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f t="shared" si="0"/>
        <v>0</v>
      </c>
      <c r="O30" s="44">
        <f t="shared" si="1"/>
        <v>0</v>
      </c>
    </row>
    <row r="31" spans="1:15" s="54" customFormat="1" ht="16.8" x14ac:dyDescent="0.4">
      <c r="A31" s="42" t="s">
        <v>183</v>
      </c>
      <c r="B31" s="52">
        <v>0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f t="shared" si="0"/>
        <v>0</v>
      </c>
      <c r="O31" s="44">
        <f t="shared" si="1"/>
        <v>0</v>
      </c>
    </row>
    <row r="32" spans="1:15" s="54" customFormat="1" ht="16.8" x14ac:dyDescent="0.4">
      <c r="A32" s="42" t="s">
        <v>196</v>
      </c>
      <c r="B32" s="52">
        <v>0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f t="shared" si="0"/>
        <v>0</v>
      </c>
      <c r="O32" s="44">
        <f t="shared" si="1"/>
        <v>0</v>
      </c>
    </row>
    <row r="33" spans="1:15" s="54" customFormat="1" ht="16.8" x14ac:dyDescent="0.4">
      <c r="A33" s="42" t="s">
        <v>163</v>
      </c>
      <c r="B33" s="52">
        <v>0</v>
      </c>
      <c r="C33" s="52">
        <v>0</v>
      </c>
      <c r="D33" s="52">
        <v>0</v>
      </c>
      <c r="E33" s="52">
        <v>0</v>
      </c>
      <c r="F33" s="52">
        <v>1575</v>
      </c>
      <c r="G33" s="52">
        <v>6237</v>
      </c>
      <c r="H33" s="52">
        <v>5670</v>
      </c>
      <c r="I33" s="52">
        <v>5964</v>
      </c>
      <c r="J33" s="52">
        <v>5334</v>
      </c>
      <c r="K33" s="52">
        <v>0</v>
      </c>
      <c r="L33" s="52">
        <v>0</v>
      </c>
      <c r="M33" s="52">
        <v>0</v>
      </c>
      <c r="N33" s="52">
        <f t="shared" si="0"/>
        <v>24780</v>
      </c>
      <c r="O33" s="44">
        <f t="shared" si="1"/>
        <v>1.9162502740400288E-2</v>
      </c>
    </row>
    <row r="34" spans="1:15" s="54" customFormat="1" ht="16.8" x14ac:dyDescent="0.4">
      <c r="A34" s="42" t="s">
        <v>187</v>
      </c>
      <c r="B34" s="52">
        <f>3757-884</f>
        <v>2873</v>
      </c>
      <c r="C34" s="52">
        <v>4709</v>
      </c>
      <c r="D34" s="52">
        <v>2040</v>
      </c>
      <c r="E34" s="52">
        <v>0</v>
      </c>
      <c r="F34" s="52">
        <v>2346</v>
      </c>
      <c r="G34" s="52">
        <v>0</v>
      </c>
      <c r="H34" s="52">
        <v>0</v>
      </c>
      <c r="I34" s="52">
        <v>0</v>
      </c>
      <c r="J34" s="52">
        <v>0</v>
      </c>
      <c r="K34" s="52">
        <v>4692</v>
      </c>
      <c r="L34" s="52">
        <v>3842</v>
      </c>
      <c r="M34" s="52">
        <v>4165</v>
      </c>
      <c r="N34" s="52">
        <f t="shared" si="0"/>
        <v>24667</v>
      </c>
      <c r="O34" s="44">
        <f t="shared" si="1"/>
        <v>1.9075119253327437E-2</v>
      </c>
    </row>
    <row r="35" spans="1:15" s="54" customFormat="1" ht="16.8" x14ac:dyDescent="0.4">
      <c r="A35" s="42" t="s">
        <v>164</v>
      </c>
      <c r="B35" s="52">
        <v>0</v>
      </c>
      <c r="C35" s="52">
        <v>0</v>
      </c>
      <c r="D35" s="52">
        <v>0</v>
      </c>
      <c r="E35" s="52">
        <v>0</v>
      </c>
      <c r="F35" s="52">
        <v>780</v>
      </c>
      <c r="G35" s="52">
        <v>2760</v>
      </c>
      <c r="H35" s="52">
        <v>2280</v>
      </c>
      <c r="I35" s="52">
        <v>2190</v>
      </c>
      <c r="J35" s="52">
        <v>2160</v>
      </c>
      <c r="K35" s="52">
        <v>0</v>
      </c>
      <c r="L35" s="52">
        <v>0</v>
      </c>
      <c r="M35" s="52">
        <v>0</v>
      </c>
      <c r="N35" s="52">
        <f t="shared" si="0"/>
        <v>10170</v>
      </c>
      <c r="O35" s="44">
        <f t="shared" si="1"/>
        <v>7.8645138365565342E-3</v>
      </c>
    </row>
    <row r="36" spans="1:15" s="54" customFormat="1" ht="16.8" x14ac:dyDescent="0.4">
      <c r="A36" s="42" t="s">
        <v>188</v>
      </c>
      <c r="B36" s="52">
        <f>1175-282</f>
        <v>893</v>
      </c>
      <c r="C36" s="52">
        <v>1850</v>
      </c>
      <c r="D36" s="52">
        <v>1025</v>
      </c>
      <c r="E36" s="52">
        <v>0</v>
      </c>
      <c r="F36" s="52">
        <v>1225</v>
      </c>
      <c r="G36" s="52">
        <v>0</v>
      </c>
      <c r="H36" s="52">
        <v>0</v>
      </c>
      <c r="I36" s="52">
        <v>0</v>
      </c>
      <c r="J36" s="52">
        <v>0</v>
      </c>
      <c r="K36" s="52">
        <v>1950</v>
      </c>
      <c r="L36" s="52">
        <v>2150</v>
      </c>
      <c r="M36" s="52">
        <v>1050</v>
      </c>
      <c r="N36" s="52">
        <f t="shared" si="0"/>
        <v>10143</v>
      </c>
      <c r="O36" s="44">
        <f t="shared" si="1"/>
        <v>7.8436345962824908E-3</v>
      </c>
    </row>
    <row r="37" spans="1:15" s="54" customFormat="1" ht="16.8" x14ac:dyDescent="0.4">
      <c r="A37" s="42" t="s">
        <v>165</v>
      </c>
      <c r="B37" s="52">
        <v>0</v>
      </c>
      <c r="C37" s="52">
        <v>0</v>
      </c>
      <c r="D37" s="52">
        <v>0</v>
      </c>
      <c r="E37" s="52">
        <v>0</v>
      </c>
      <c r="F37" s="52">
        <v>1131</v>
      </c>
      <c r="G37" s="52">
        <v>3471</v>
      </c>
      <c r="H37" s="52">
        <v>4485</v>
      </c>
      <c r="I37" s="52">
        <v>3744</v>
      </c>
      <c r="J37" s="52">
        <v>3744</v>
      </c>
      <c r="K37" s="52">
        <v>0</v>
      </c>
      <c r="L37" s="52">
        <v>0</v>
      </c>
      <c r="M37" s="52">
        <v>0</v>
      </c>
      <c r="N37" s="52">
        <f t="shared" si="0"/>
        <v>16575</v>
      </c>
      <c r="O37" s="44">
        <f t="shared" si="1"/>
        <v>1.2817533612676946E-2</v>
      </c>
    </row>
    <row r="38" spans="1:15" s="54" customFormat="1" ht="16.8" x14ac:dyDescent="0.4">
      <c r="A38" s="42" t="s">
        <v>189</v>
      </c>
      <c r="B38" s="52">
        <f>1584-384</f>
        <v>1200</v>
      </c>
      <c r="C38" s="52">
        <v>1947</v>
      </c>
      <c r="D38" s="52">
        <v>1122</v>
      </c>
      <c r="E38" s="52">
        <v>0</v>
      </c>
      <c r="F38" s="52">
        <v>1551</v>
      </c>
      <c r="G38" s="52">
        <v>0</v>
      </c>
      <c r="H38" s="52">
        <v>0</v>
      </c>
      <c r="I38" s="52">
        <v>0</v>
      </c>
      <c r="J38" s="52">
        <v>0</v>
      </c>
      <c r="K38" s="52">
        <v>2376</v>
      </c>
      <c r="L38" s="52">
        <v>1815</v>
      </c>
      <c r="M38" s="52">
        <v>1782</v>
      </c>
      <c r="N38" s="52">
        <f t="shared" si="0"/>
        <v>11793</v>
      </c>
      <c r="O38" s="44">
        <f t="shared" si="1"/>
        <v>9.1195881685851733E-3</v>
      </c>
    </row>
    <row r="39" spans="1:15" s="54" customFormat="1" ht="16.8" x14ac:dyDescent="0.4">
      <c r="A39" s="42" t="s">
        <v>166</v>
      </c>
      <c r="B39" s="52">
        <v>0</v>
      </c>
      <c r="C39" s="52">
        <v>0</v>
      </c>
      <c r="D39" s="52">
        <v>0</v>
      </c>
      <c r="E39" s="52">
        <v>0</v>
      </c>
      <c r="F39" s="52">
        <v>765</v>
      </c>
      <c r="G39" s="52">
        <v>4131</v>
      </c>
      <c r="H39" s="52">
        <v>4845</v>
      </c>
      <c r="I39" s="52">
        <v>4743</v>
      </c>
      <c r="J39" s="52">
        <v>3723</v>
      </c>
      <c r="K39" s="52">
        <v>0</v>
      </c>
      <c r="L39" s="52">
        <v>0</v>
      </c>
      <c r="M39" s="52">
        <v>0</v>
      </c>
      <c r="N39" s="52">
        <f t="shared" si="0"/>
        <v>18207</v>
      </c>
      <c r="O39" s="44">
        <f t="shared" si="1"/>
        <v>1.4079567691463599E-2</v>
      </c>
    </row>
    <row r="40" spans="1:15" s="54" customFormat="1" ht="16.8" x14ac:dyDescent="0.4">
      <c r="A40" s="42" t="s">
        <v>190</v>
      </c>
      <c r="B40" s="52">
        <f>1596-380</f>
        <v>1216</v>
      </c>
      <c r="C40" s="52">
        <v>1848</v>
      </c>
      <c r="D40" s="52">
        <v>1218</v>
      </c>
      <c r="E40" s="52">
        <v>0</v>
      </c>
      <c r="F40" s="52">
        <v>924</v>
      </c>
      <c r="G40" s="52">
        <v>0</v>
      </c>
      <c r="H40" s="52">
        <v>0</v>
      </c>
      <c r="I40" s="52">
        <v>0</v>
      </c>
      <c r="J40" s="52">
        <v>0</v>
      </c>
      <c r="K40" s="52">
        <v>2688</v>
      </c>
      <c r="L40" s="52">
        <v>2226</v>
      </c>
      <c r="M40" s="52">
        <v>2016</v>
      </c>
      <c r="N40" s="52">
        <f t="shared" si="0"/>
        <v>12136</v>
      </c>
      <c r="O40" s="44">
        <f t="shared" si="1"/>
        <v>9.3848318505850639E-3</v>
      </c>
    </row>
    <row r="41" spans="1:15" s="54" customFormat="1" ht="16.8" x14ac:dyDescent="0.4">
      <c r="A41" s="42" t="s">
        <v>167</v>
      </c>
      <c r="B41" s="52">
        <v>0</v>
      </c>
      <c r="C41" s="52">
        <v>0</v>
      </c>
      <c r="D41" s="52">
        <v>0</v>
      </c>
      <c r="E41" s="52">
        <v>0</v>
      </c>
      <c r="F41" s="52">
        <v>448</v>
      </c>
      <c r="G41" s="52">
        <v>896</v>
      </c>
      <c r="H41" s="52">
        <v>2624</v>
      </c>
      <c r="I41" s="52">
        <v>2688</v>
      </c>
      <c r="J41" s="52">
        <v>2112</v>
      </c>
      <c r="K41" s="52">
        <v>0</v>
      </c>
      <c r="L41" s="52">
        <v>0</v>
      </c>
      <c r="M41" s="52">
        <v>0</v>
      </c>
      <c r="N41" s="52">
        <f t="shared" si="0"/>
        <v>8768</v>
      </c>
      <c r="O41" s="44">
        <f t="shared" si="1"/>
        <v>6.7803399526969212E-3</v>
      </c>
    </row>
    <row r="42" spans="1:15" s="54" customFormat="1" ht="16.8" x14ac:dyDescent="0.4">
      <c r="A42" s="42" t="s">
        <v>191</v>
      </c>
      <c r="B42" s="52">
        <f>676-156</f>
        <v>520</v>
      </c>
      <c r="C42" s="52">
        <v>1092</v>
      </c>
      <c r="D42" s="52">
        <v>468</v>
      </c>
      <c r="E42" s="52">
        <v>0</v>
      </c>
      <c r="F42" s="52">
        <v>572</v>
      </c>
      <c r="G42" s="52">
        <v>0</v>
      </c>
      <c r="H42" s="52">
        <v>0</v>
      </c>
      <c r="I42" s="52">
        <v>0</v>
      </c>
      <c r="J42" s="52">
        <v>0</v>
      </c>
      <c r="K42" s="52">
        <v>832</v>
      </c>
      <c r="L42" s="52">
        <v>832</v>
      </c>
      <c r="M42" s="52">
        <v>1300</v>
      </c>
      <c r="N42" s="52">
        <f t="shared" si="0"/>
        <v>5616</v>
      </c>
      <c r="O42" s="44">
        <f t="shared" si="1"/>
        <v>4.34288197700113E-3</v>
      </c>
    </row>
    <row r="43" spans="1:15" s="54" customFormat="1" ht="16.8" x14ac:dyDescent="0.4">
      <c r="A43" s="42" t="s">
        <v>168</v>
      </c>
      <c r="B43" s="52">
        <v>0</v>
      </c>
      <c r="C43" s="52">
        <v>0</v>
      </c>
      <c r="D43" s="52">
        <v>0</v>
      </c>
      <c r="E43" s="52">
        <v>0</v>
      </c>
      <c r="F43" s="52">
        <v>312</v>
      </c>
      <c r="G43" s="52">
        <v>702</v>
      </c>
      <c r="H43" s="52">
        <v>1014</v>
      </c>
      <c r="I43" s="52">
        <v>1092</v>
      </c>
      <c r="J43" s="52">
        <v>1170</v>
      </c>
      <c r="K43" s="52">
        <v>0</v>
      </c>
      <c r="L43" s="52">
        <v>0</v>
      </c>
      <c r="M43" s="52">
        <v>0</v>
      </c>
      <c r="N43" s="52">
        <f t="shared" si="0"/>
        <v>4290</v>
      </c>
      <c r="O43" s="44">
        <f t="shared" si="1"/>
        <v>3.3174792879869745E-3</v>
      </c>
    </row>
    <row r="44" spans="1:15" s="54" customFormat="1" ht="16.8" x14ac:dyDescent="0.4">
      <c r="A44" s="42" t="s">
        <v>192</v>
      </c>
      <c r="B44" s="52">
        <f>384-90</f>
        <v>294</v>
      </c>
      <c r="C44" s="52">
        <v>640</v>
      </c>
      <c r="D44" s="52">
        <v>256</v>
      </c>
      <c r="E44" s="52">
        <v>0</v>
      </c>
      <c r="F44" s="52">
        <v>64</v>
      </c>
      <c r="G44" s="52">
        <v>0</v>
      </c>
      <c r="H44" s="52">
        <v>0</v>
      </c>
      <c r="I44" s="52">
        <v>0</v>
      </c>
      <c r="J44" s="52">
        <v>0</v>
      </c>
      <c r="K44" s="52">
        <v>832</v>
      </c>
      <c r="L44" s="52">
        <v>640</v>
      </c>
      <c r="M44" s="52">
        <v>896</v>
      </c>
      <c r="N44" s="52">
        <f t="shared" si="0"/>
        <v>3622</v>
      </c>
      <c r="O44" s="44">
        <f t="shared" si="1"/>
        <v>2.8009114175032218E-3</v>
      </c>
    </row>
    <row r="45" spans="1:15" s="54" customFormat="1" ht="16.8" x14ac:dyDescent="0.4">
      <c r="A45" s="42" t="s">
        <v>169</v>
      </c>
      <c r="B45" s="52">
        <v>0</v>
      </c>
      <c r="C45" s="52">
        <v>0</v>
      </c>
      <c r="D45" s="52">
        <v>0</v>
      </c>
      <c r="E45" s="52">
        <v>0</v>
      </c>
      <c r="F45" s="52">
        <v>282</v>
      </c>
      <c r="G45" s="52">
        <v>470</v>
      </c>
      <c r="H45" s="52">
        <v>752</v>
      </c>
      <c r="I45" s="52">
        <v>188</v>
      </c>
      <c r="J45" s="52">
        <v>94</v>
      </c>
      <c r="K45" s="52">
        <v>0</v>
      </c>
      <c r="L45" s="52">
        <v>0</v>
      </c>
      <c r="M45" s="52">
        <v>0</v>
      </c>
      <c r="N45" s="52">
        <f t="shared" si="0"/>
        <v>1786</v>
      </c>
      <c r="O45" s="44">
        <f t="shared" si="1"/>
        <v>1.381123078868237E-3</v>
      </c>
    </row>
    <row r="46" spans="1:15" s="54" customFormat="1" ht="16.8" x14ac:dyDescent="0.4">
      <c r="A46" s="42" t="s">
        <v>193</v>
      </c>
      <c r="B46" s="52">
        <f>231-54</f>
        <v>177</v>
      </c>
      <c r="C46" s="52">
        <v>385</v>
      </c>
      <c r="D46" s="52">
        <v>0</v>
      </c>
      <c r="E46" s="52">
        <v>0</v>
      </c>
      <c r="F46" s="52">
        <v>154</v>
      </c>
      <c r="G46" s="52">
        <v>0</v>
      </c>
      <c r="H46" s="52">
        <v>0</v>
      </c>
      <c r="I46" s="52">
        <v>0</v>
      </c>
      <c r="J46" s="52">
        <v>0</v>
      </c>
      <c r="K46" s="52">
        <v>231</v>
      </c>
      <c r="L46" s="52">
        <v>385</v>
      </c>
      <c r="M46" s="52">
        <v>539</v>
      </c>
      <c r="N46" s="52">
        <f t="shared" si="0"/>
        <v>1871</v>
      </c>
      <c r="O46" s="44">
        <f t="shared" si="1"/>
        <v>1.4468540204717083E-3</v>
      </c>
    </row>
    <row r="47" spans="1:15" s="54" customFormat="1" ht="16.8" x14ac:dyDescent="0.4">
      <c r="A47" s="42" t="s">
        <v>170</v>
      </c>
      <c r="B47" s="52">
        <v>0</v>
      </c>
      <c r="C47" s="52">
        <v>0</v>
      </c>
      <c r="D47" s="52">
        <v>0</v>
      </c>
      <c r="E47" s="52">
        <v>0</v>
      </c>
      <c r="F47" s="52">
        <v>0</v>
      </c>
      <c r="G47" s="52">
        <v>436</v>
      </c>
      <c r="H47" s="52">
        <v>327</v>
      </c>
      <c r="I47" s="52">
        <v>545</v>
      </c>
      <c r="J47" s="52">
        <v>0</v>
      </c>
      <c r="K47" s="52">
        <v>0</v>
      </c>
      <c r="L47" s="52">
        <v>0</v>
      </c>
      <c r="M47" s="52">
        <v>0</v>
      </c>
      <c r="N47" s="52">
        <f t="shared" si="0"/>
        <v>1308</v>
      </c>
      <c r="O47" s="44">
        <f t="shared" si="1"/>
        <v>1.0114831954981265E-3</v>
      </c>
    </row>
    <row r="48" spans="1:15" s="54" customFormat="1" ht="16.8" x14ac:dyDescent="0.4">
      <c r="A48" s="42" t="s">
        <v>194</v>
      </c>
      <c r="B48" s="52">
        <v>0</v>
      </c>
      <c r="C48" s="52">
        <v>180</v>
      </c>
      <c r="D48" s="52">
        <v>270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180</v>
      </c>
      <c r="L48" s="52">
        <v>90</v>
      </c>
      <c r="M48" s="52">
        <v>0</v>
      </c>
      <c r="N48" s="52">
        <f t="shared" si="0"/>
        <v>720</v>
      </c>
      <c r="O48" s="44">
        <f t="shared" si="1"/>
        <v>5.5677974064117055E-4</v>
      </c>
    </row>
    <row r="49" spans="1:15" s="54" customFormat="1" ht="16.8" x14ac:dyDescent="0.4">
      <c r="A49" s="42" t="s">
        <v>171</v>
      </c>
      <c r="B49" s="52">
        <v>0</v>
      </c>
      <c r="C49" s="52">
        <v>0</v>
      </c>
      <c r="D49" s="52">
        <v>0</v>
      </c>
      <c r="E49" s="52">
        <v>0</v>
      </c>
      <c r="F49" s="52">
        <v>129</v>
      </c>
      <c r="G49" s="52">
        <v>516</v>
      </c>
      <c r="H49" s="52">
        <v>1032</v>
      </c>
      <c r="I49" s="52">
        <v>387</v>
      </c>
      <c r="J49" s="52">
        <v>1548</v>
      </c>
      <c r="K49" s="52">
        <v>0</v>
      </c>
      <c r="L49" s="52">
        <v>0</v>
      </c>
      <c r="M49" s="52">
        <v>0</v>
      </c>
      <c r="N49" s="52">
        <f t="shared" si="0"/>
        <v>3612</v>
      </c>
      <c r="O49" s="44">
        <f t="shared" si="1"/>
        <v>2.7931783655498724E-3</v>
      </c>
    </row>
    <row r="50" spans="1:15" s="54" customFormat="1" ht="16.8" x14ac:dyDescent="0.4">
      <c r="A50" s="42" t="s">
        <v>195</v>
      </c>
      <c r="B50" s="52">
        <f>525-120</f>
        <v>405</v>
      </c>
      <c r="C50" s="52">
        <v>210</v>
      </c>
      <c r="D50" s="52">
        <v>210</v>
      </c>
      <c r="E50" s="52">
        <v>0</v>
      </c>
      <c r="F50" s="52">
        <v>420</v>
      </c>
      <c r="G50" s="52">
        <v>0</v>
      </c>
      <c r="H50" s="52">
        <v>0</v>
      </c>
      <c r="I50" s="52">
        <v>0</v>
      </c>
      <c r="J50" s="52">
        <v>0</v>
      </c>
      <c r="K50" s="52">
        <v>315</v>
      </c>
      <c r="L50" s="52">
        <v>210</v>
      </c>
      <c r="M50" s="52">
        <v>735</v>
      </c>
      <c r="N50" s="52">
        <f t="shared" si="0"/>
        <v>2505</v>
      </c>
      <c r="O50" s="44">
        <f t="shared" si="1"/>
        <v>1.9371295143140726E-3</v>
      </c>
    </row>
    <row r="51" spans="1:15" s="54" customFormat="1" ht="16.8" x14ac:dyDescent="0.4">
      <c r="A51" s="42" t="s">
        <v>198</v>
      </c>
      <c r="B51" s="52">
        <f>10.8</f>
        <v>10.8</v>
      </c>
      <c r="C51" s="52">
        <v>10.199999999999999</v>
      </c>
      <c r="D51" s="52">
        <v>6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f t="shared" si="0"/>
        <v>27</v>
      </c>
      <c r="O51" s="44">
        <f t="shared" si="1"/>
        <v>2.0879240274043894E-5</v>
      </c>
    </row>
    <row r="52" spans="1:15" ht="16.8" x14ac:dyDescent="0.4">
      <c r="A52" s="5" t="s">
        <v>25</v>
      </c>
      <c r="B52" s="39">
        <f t="shared" ref="B52:M52" si="2">SUM(B4:B51)</f>
        <v>70735.8</v>
      </c>
      <c r="C52" s="39">
        <f t="shared" si="2"/>
        <v>97665.7</v>
      </c>
      <c r="D52" s="39">
        <f t="shared" si="2"/>
        <v>63910</v>
      </c>
      <c r="E52" s="39">
        <f t="shared" si="2"/>
        <v>24952</v>
      </c>
      <c r="F52" s="39">
        <f t="shared" si="2"/>
        <v>238450</v>
      </c>
      <c r="G52" s="39">
        <f t="shared" si="2"/>
        <v>112192</v>
      </c>
      <c r="H52" s="39">
        <f t="shared" si="2"/>
        <v>138891</v>
      </c>
      <c r="I52" s="39">
        <f t="shared" si="2"/>
        <v>140752</v>
      </c>
      <c r="J52" s="39">
        <f t="shared" si="2"/>
        <v>126093</v>
      </c>
      <c r="K52" s="39">
        <f t="shared" si="2"/>
        <v>100444</v>
      </c>
      <c r="L52" s="39">
        <f t="shared" si="2"/>
        <v>86586</v>
      </c>
      <c r="M52" s="39">
        <f t="shared" si="2"/>
        <v>92479</v>
      </c>
      <c r="N52" s="9">
        <f t="shared" si="0"/>
        <v>1293150.5</v>
      </c>
      <c r="O52" s="10">
        <f t="shared" si="1"/>
        <v>1</v>
      </c>
    </row>
    <row r="53" spans="1:15" ht="16.8" x14ac:dyDescent="0.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6.8" x14ac:dyDescent="0.4">
      <c r="A56" s="4" t="s">
        <v>148</v>
      </c>
      <c r="B56" s="39">
        <f t="shared" ref="B56:D56" si="3">+B4+B7+B8+B9+B15+B16+B19+B20+B22+B23+B24+B27+B28+B33+B34+B35+B36+B37+B38+B39+B40+B41+B42+B43+B44+B45+B46+B47+B48+B49+B50+B5+B6</f>
        <v>56604</v>
      </c>
      <c r="C56" s="39">
        <f t="shared" si="3"/>
        <v>76689</v>
      </c>
      <c r="D56" s="39">
        <f t="shared" si="3"/>
        <v>51358</v>
      </c>
      <c r="E56" s="39">
        <f>+E4+E7+E8+E9+E15+E16+E19+E20+E22+E23+E24+E27+E28+E33+E34+E35+E36+E37+E38+E39+E40+E41+E42+E43+E44+E45+E46+E47+E48+E49+E50+E5+E6</f>
        <v>20496</v>
      </c>
      <c r="F56" s="39">
        <f t="shared" ref="F56:N56" si="4">+F4+F7+F8+F9+F15+F16+F19+F20+F22+F23+F24+F27+F28+F33+F34+F35+F36+F37+F38+F39+F40+F41+F42+F43+F44+F45+F46+F47+F48+F49+F50+F5+F6</f>
        <v>193443</v>
      </c>
      <c r="G56" s="39">
        <f t="shared" si="4"/>
        <v>91324</v>
      </c>
      <c r="H56" s="39">
        <f t="shared" si="4"/>
        <v>108455</v>
      </c>
      <c r="I56" s="39">
        <f>+I4+I7+I8+I9+I15+I16+I19+I20+I22+I23+I24+I27+I28+I33+I34+I35+I36+I37+I38+I39+I40+I41+I42+I43+I44+I45+I46+I47+I48+I49+I50+I5+I6+I18</f>
        <v>108044</v>
      </c>
      <c r="J56" s="39">
        <f t="shared" ref="J56:M56" si="5">+J4+J7+J8+J9+J15+J16+J19+J20+J22+J23+J24+J27+J28+J33+J34+J35+J36+J37+J38+J39+J40+J41+J42+J43+J44+J45+J46+J47+J48+J49+J50+J5+J6+J18</f>
        <v>100315</v>
      </c>
      <c r="K56" s="39">
        <f t="shared" si="5"/>
        <v>81763</v>
      </c>
      <c r="L56" s="39">
        <f t="shared" si="5"/>
        <v>72285</v>
      </c>
      <c r="M56" s="39">
        <f t="shared" si="5"/>
        <v>77351</v>
      </c>
      <c r="N56" s="39">
        <f t="shared" si="4"/>
        <v>1038127</v>
      </c>
      <c r="O56" s="4"/>
    </row>
    <row r="57" spans="1:15" s="56" customFormat="1" ht="16.8" x14ac:dyDescent="0.4">
      <c r="A57" s="55" t="s">
        <v>149</v>
      </c>
      <c r="B57" s="50">
        <f>+B10+B11+B12+B13+B14+B17+B21+B25+B26+B29+B30+B31+B51</f>
        <v>14131.8</v>
      </c>
      <c r="C57" s="50">
        <f t="shared" ref="C57:N57" si="6">+C10+C11+C12+C13+C14+C17+C21+C25+C26+C29+C30+C31+C51</f>
        <v>20976.7</v>
      </c>
      <c r="D57" s="50">
        <f t="shared" si="6"/>
        <v>12552</v>
      </c>
      <c r="E57" s="50">
        <f t="shared" si="6"/>
        <v>4456</v>
      </c>
      <c r="F57" s="50">
        <f t="shared" si="6"/>
        <v>45007</v>
      </c>
      <c r="G57" s="50">
        <f t="shared" si="6"/>
        <v>20868</v>
      </c>
      <c r="H57" s="50">
        <f t="shared" si="6"/>
        <v>30436</v>
      </c>
      <c r="I57" s="50">
        <f t="shared" si="6"/>
        <v>32708</v>
      </c>
      <c r="J57" s="50">
        <f t="shared" si="6"/>
        <v>25778</v>
      </c>
      <c r="K57" s="50">
        <f t="shared" si="6"/>
        <v>18681</v>
      </c>
      <c r="L57" s="50">
        <f t="shared" si="6"/>
        <v>14301</v>
      </c>
      <c r="M57" s="50">
        <f t="shared" si="6"/>
        <v>15128</v>
      </c>
      <c r="N57" s="50">
        <f t="shared" si="6"/>
        <v>255023.5</v>
      </c>
      <c r="O57" s="50"/>
    </row>
    <row r="58" spans="1:15" s="46" customFormat="1" ht="17.399999999999999" thickBot="1" x14ac:dyDescent="0.45">
      <c r="A58" s="48" t="s">
        <v>143</v>
      </c>
      <c r="B58" s="47">
        <f t="shared" ref="B58:N58" si="7">SUM(B56:B57)</f>
        <v>70735.8</v>
      </c>
      <c r="C58" s="47">
        <f t="shared" si="7"/>
        <v>97665.7</v>
      </c>
      <c r="D58" s="47">
        <f t="shared" si="7"/>
        <v>63910</v>
      </c>
      <c r="E58" s="47">
        <f t="shared" si="7"/>
        <v>24952</v>
      </c>
      <c r="F58" s="47">
        <f t="shared" si="7"/>
        <v>238450</v>
      </c>
      <c r="G58" s="47">
        <f t="shared" si="7"/>
        <v>112192</v>
      </c>
      <c r="H58" s="47">
        <f t="shared" si="7"/>
        <v>138891</v>
      </c>
      <c r="I58" s="47">
        <f t="shared" si="7"/>
        <v>140752</v>
      </c>
      <c r="J58" s="47">
        <f t="shared" si="7"/>
        <v>126093</v>
      </c>
      <c r="K58" s="47">
        <f t="shared" si="7"/>
        <v>100444</v>
      </c>
      <c r="L58" s="47">
        <f t="shared" si="7"/>
        <v>86586</v>
      </c>
      <c r="M58" s="47">
        <f t="shared" si="7"/>
        <v>92479</v>
      </c>
      <c r="N58" s="47">
        <f t="shared" si="7"/>
        <v>1293150.5</v>
      </c>
      <c r="O58" s="48"/>
    </row>
    <row r="59" spans="1:15" ht="17.399999999999999" thickTop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/>
      <c r="B60" s="39">
        <f t="shared" ref="B60:M60" si="8">+B58-B52</f>
        <v>0</v>
      </c>
      <c r="C60" s="39">
        <f t="shared" si="8"/>
        <v>0</v>
      </c>
      <c r="D60" s="39">
        <f t="shared" si="8"/>
        <v>0</v>
      </c>
      <c r="E60" s="39">
        <f t="shared" si="8"/>
        <v>0</v>
      </c>
      <c r="F60" s="39">
        <f t="shared" si="8"/>
        <v>0</v>
      </c>
      <c r="G60" s="39">
        <f t="shared" si="8"/>
        <v>0</v>
      </c>
      <c r="H60" s="39">
        <f t="shared" si="8"/>
        <v>0</v>
      </c>
      <c r="I60" s="39">
        <f t="shared" si="8"/>
        <v>0</v>
      </c>
      <c r="J60" s="39">
        <f t="shared" si="8"/>
        <v>0</v>
      </c>
      <c r="K60" s="39">
        <f t="shared" si="8"/>
        <v>0</v>
      </c>
      <c r="L60" s="39">
        <f t="shared" si="8"/>
        <v>0</v>
      </c>
      <c r="M60" s="39">
        <f t="shared" si="8"/>
        <v>0</v>
      </c>
      <c r="N60" s="4"/>
      <c r="O60" s="4"/>
    </row>
    <row r="65" spans="1:14" ht="16.2" x14ac:dyDescent="0.25">
      <c r="A65" s="60" t="s">
        <v>204</v>
      </c>
      <c r="B65" s="61">
        <f t="shared" ref="B65:N65" si="9">+B4+B7+B8+B9+B5+B6</f>
        <v>26548</v>
      </c>
      <c r="C65" s="61">
        <f t="shared" si="9"/>
        <v>29224</v>
      </c>
      <c r="D65" s="61">
        <f t="shared" si="9"/>
        <v>21740</v>
      </c>
      <c r="E65" s="61">
        <f t="shared" si="9"/>
        <v>20496</v>
      </c>
      <c r="F65" s="61">
        <f t="shared" si="9"/>
        <v>149018</v>
      </c>
      <c r="G65" s="61">
        <f t="shared" si="9"/>
        <v>30374</v>
      </c>
      <c r="H65" s="61">
        <f t="shared" si="9"/>
        <v>31176</v>
      </c>
      <c r="I65" s="61">
        <f t="shared" si="9"/>
        <v>30072</v>
      </c>
      <c r="J65" s="61">
        <f t="shared" si="9"/>
        <v>36398</v>
      </c>
      <c r="K65" s="61">
        <f t="shared" si="9"/>
        <v>34396</v>
      </c>
      <c r="L65" s="61">
        <f t="shared" si="9"/>
        <v>34096</v>
      </c>
      <c r="M65" s="61">
        <f t="shared" si="9"/>
        <v>35264</v>
      </c>
      <c r="N65" s="61">
        <f t="shared" si="9"/>
        <v>478802</v>
      </c>
    </row>
    <row r="66" spans="1:14" ht="16.2" x14ac:dyDescent="0.25">
      <c r="A66" s="60" t="s">
        <v>205</v>
      </c>
      <c r="B66" s="61">
        <f t="shared" ref="B66:N66" si="10">+B15+B16+B23+B24</f>
        <v>22460</v>
      </c>
      <c r="C66" s="61">
        <f t="shared" si="10"/>
        <v>34596</v>
      </c>
      <c r="D66" s="61">
        <f t="shared" si="10"/>
        <v>23002</v>
      </c>
      <c r="E66" s="61">
        <f t="shared" si="10"/>
        <v>0</v>
      </c>
      <c r="F66" s="61">
        <f t="shared" si="10"/>
        <v>31595</v>
      </c>
      <c r="G66" s="61">
        <f t="shared" si="10"/>
        <v>41088</v>
      </c>
      <c r="H66" s="61">
        <f t="shared" si="10"/>
        <v>53928</v>
      </c>
      <c r="I66" s="61">
        <f t="shared" si="10"/>
        <v>56004</v>
      </c>
      <c r="J66" s="61">
        <f t="shared" si="10"/>
        <v>43473</v>
      </c>
      <c r="K66" s="61">
        <f t="shared" si="10"/>
        <v>33132</v>
      </c>
      <c r="L66" s="61">
        <f t="shared" si="10"/>
        <v>25946</v>
      </c>
      <c r="M66" s="61">
        <f t="shared" si="10"/>
        <v>29484</v>
      </c>
      <c r="N66" s="61">
        <f t="shared" si="10"/>
        <v>394708</v>
      </c>
    </row>
    <row r="67" spans="1:14" ht="16.2" x14ac:dyDescent="0.25">
      <c r="A67" s="60" t="s">
        <v>206</v>
      </c>
      <c r="B67" s="61">
        <f t="shared" ref="B67:N67" si="11">+B19+B20+B27+B28</f>
        <v>6</v>
      </c>
      <c r="C67" s="61">
        <f t="shared" si="11"/>
        <v>0</v>
      </c>
      <c r="D67" s="61">
        <f t="shared" si="11"/>
        <v>7</v>
      </c>
      <c r="E67" s="61">
        <f t="shared" si="11"/>
        <v>0</v>
      </c>
      <c r="F67" s="61">
        <f t="shared" si="11"/>
        <v>144</v>
      </c>
      <c r="G67" s="61">
        <f t="shared" si="11"/>
        <v>219</v>
      </c>
      <c r="H67" s="61">
        <f t="shared" si="11"/>
        <v>258</v>
      </c>
      <c r="I67" s="61">
        <f t="shared" si="11"/>
        <v>427</v>
      </c>
      <c r="J67" s="61">
        <f t="shared" si="11"/>
        <v>383</v>
      </c>
      <c r="K67" s="61">
        <f t="shared" si="11"/>
        <v>115</v>
      </c>
      <c r="L67" s="61">
        <f t="shared" si="11"/>
        <v>53</v>
      </c>
      <c r="M67" s="61">
        <f t="shared" si="11"/>
        <v>0</v>
      </c>
      <c r="N67" s="61">
        <f t="shared" si="11"/>
        <v>1612</v>
      </c>
    </row>
    <row r="68" spans="1:14" ht="16.2" x14ac:dyDescent="0.25">
      <c r="A68" s="60" t="s">
        <v>207</v>
      </c>
      <c r="B68" s="61">
        <f t="shared" ref="B68:H68" si="12">+B33+B34+B35+B36+B37+B38+B39+B40+B41+B42+B43+B44+B45+B46+B47+B48+B49+B50+B18+B22</f>
        <v>7590</v>
      </c>
      <c r="C68" s="61">
        <f t="shared" si="12"/>
        <v>12869</v>
      </c>
      <c r="D68" s="61">
        <f t="shared" si="12"/>
        <v>6609</v>
      </c>
      <c r="E68" s="61">
        <f t="shared" si="12"/>
        <v>0</v>
      </c>
      <c r="F68" s="61">
        <f t="shared" si="12"/>
        <v>12686</v>
      </c>
      <c r="G68" s="61">
        <f t="shared" si="12"/>
        <v>19643</v>
      </c>
      <c r="H68" s="61">
        <f t="shared" si="12"/>
        <v>23093</v>
      </c>
      <c r="I68" s="61">
        <f>+I33+I34+I35+I36+I37+I38+I39+I40+I41+I42+I43+I44+I45+I46+I47+I48+I49+I50+I18+I22</f>
        <v>21541</v>
      </c>
      <c r="J68" s="61">
        <f t="shared" ref="J68:M68" si="13">+J33+J34+J35+J36+J37+J38+J39+J40+J41+J42+J43+J44+J45+J46+J47+J48+J49+J50+J18+J22</f>
        <v>20061</v>
      </c>
      <c r="K68" s="61">
        <f t="shared" si="13"/>
        <v>14120</v>
      </c>
      <c r="L68" s="61">
        <f t="shared" si="13"/>
        <v>12190</v>
      </c>
      <c r="M68" s="61">
        <f t="shared" si="13"/>
        <v>12603</v>
      </c>
      <c r="N68" s="61">
        <f t="shared" ref="N68" si="14">+N33+N34+N35+N36+N37+N38+N39+N40+N41+N42+N43+N44+N45+N46+N47+N48+N49+N50</f>
        <v>162569</v>
      </c>
    </row>
    <row r="69" spans="1:14" ht="16.2" x14ac:dyDescent="0.25">
      <c r="A69" s="60" t="s">
        <v>208</v>
      </c>
      <c r="B69" s="61">
        <f t="shared" ref="B69:N69" si="15">+B12+B29</f>
        <v>7733</v>
      </c>
      <c r="C69" s="61">
        <f t="shared" si="15"/>
        <v>9535</v>
      </c>
      <c r="D69" s="61">
        <f t="shared" si="15"/>
        <v>6351</v>
      </c>
      <c r="E69" s="61">
        <f t="shared" si="15"/>
        <v>4456</v>
      </c>
      <c r="F69" s="61">
        <f t="shared" si="15"/>
        <v>36916</v>
      </c>
      <c r="G69" s="61">
        <f t="shared" si="15"/>
        <v>8519</v>
      </c>
      <c r="H69" s="61">
        <f t="shared" si="15"/>
        <v>9963</v>
      </c>
      <c r="I69" s="61">
        <f t="shared" si="15"/>
        <v>10042</v>
      </c>
      <c r="J69" s="61">
        <f t="shared" si="15"/>
        <v>10056</v>
      </c>
      <c r="K69" s="61">
        <f t="shared" si="15"/>
        <v>9489</v>
      </c>
      <c r="L69" s="61">
        <f t="shared" si="15"/>
        <v>6949</v>
      </c>
      <c r="M69" s="61">
        <f t="shared" si="15"/>
        <v>7552</v>
      </c>
      <c r="N69" s="61">
        <f t="shared" si="15"/>
        <v>127561</v>
      </c>
    </row>
    <row r="70" spans="1:14" ht="16.2" x14ac:dyDescent="0.25">
      <c r="A70" s="60" t="s">
        <v>209</v>
      </c>
      <c r="B70" s="61">
        <f t="shared" ref="B70:N70" si="16">+B13+B14+B25+B26</f>
        <v>5789</v>
      </c>
      <c r="C70" s="61">
        <f t="shared" si="16"/>
        <v>10718</v>
      </c>
      <c r="D70" s="61">
        <f t="shared" si="16"/>
        <v>6020</v>
      </c>
      <c r="E70" s="61">
        <f t="shared" si="16"/>
        <v>0</v>
      </c>
      <c r="F70" s="61">
        <f t="shared" si="16"/>
        <v>8091</v>
      </c>
      <c r="G70" s="61">
        <f t="shared" si="16"/>
        <v>12349</v>
      </c>
      <c r="H70" s="61">
        <f t="shared" si="16"/>
        <v>20233</v>
      </c>
      <c r="I70" s="61">
        <f t="shared" si="16"/>
        <v>22026</v>
      </c>
      <c r="J70" s="61">
        <f t="shared" si="16"/>
        <v>15102</v>
      </c>
      <c r="K70" s="61">
        <f t="shared" si="16"/>
        <v>8692</v>
      </c>
      <c r="L70" s="61">
        <f t="shared" si="16"/>
        <v>6852</v>
      </c>
      <c r="M70" s="61">
        <f t="shared" si="16"/>
        <v>7576</v>
      </c>
      <c r="N70" s="61">
        <f t="shared" si="16"/>
        <v>123448</v>
      </c>
    </row>
    <row r="71" spans="1:14" ht="16.2" x14ac:dyDescent="0.25">
      <c r="A71" s="60" t="s">
        <v>210</v>
      </c>
      <c r="B71" s="61">
        <f t="shared" ref="B71:N71" si="17">+B10+B11+B30+B31</f>
        <v>0</v>
      </c>
      <c r="C71" s="61">
        <f t="shared" si="17"/>
        <v>0</v>
      </c>
      <c r="D71" s="61">
        <f t="shared" si="17"/>
        <v>0</v>
      </c>
      <c r="E71" s="61">
        <f t="shared" si="17"/>
        <v>0</v>
      </c>
      <c r="F71" s="61">
        <f t="shared" si="17"/>
        <v>0</v>
      </c>
      <c r="G71" s="61">
        <f t="shared" si="17"/>
        <v>0</v>
      </c>
      <c r="H71" s="61">
        <f t="shared" si="17"/>
        <v>0</v>
      </c>
      <c r="I71" s="61">
        <f t="shared" si="17"/>
        <v>0</v>
      </c>
      <c r="J71" s="61">
        <f t="shared" si="17"/>
        <v>0</v>
      </c>
      <c r="K71" s="61">
        <f t="shared" si="17"/>
        <v>0</v>
      </c>
      <c r="L71" s="61">
        <f t="shared" si="17"/>
        <v>0</v>
      </c>
      <c r="M71" s="61">
        <f t="shared" si="17"/>
        <v>0</v>
      </c>
      <c r="N71" s="61">
        <f t="shared" si="17"/>
        <v>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1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L52" sqref="L52"/>
    </sheetView>
  </sheetViews>
  <sheetFormatPr defaultColWidth="8.33203125" defaultRowHeight="15" x14ac:dyDescent="0.25"/>
  <cols>
    <col min="1" max="1" width="29.08203125" bestFit="1" customWidth="1"/>
    <col min="2" max="5" width="9.33203125" bestFit="1" customWidth="1"/>
    <col min="6" max="6" width="10.4140625" customWidth="1"/>
    <col min="7" max="7" width="10.33203125" customWidth="1"/>
    <col min="8" max="8" width="10" customWidth="1"/>
    <col min="9" max="9" width="10.08203125" customWidth="1"/>
    <col min="10" max="10" width="10" customWidth="1"/>
    <col min="11" max="11" width="10.6640625" customWidth="1"/>
    <col min="12" max="12" width="10.08203125" customWidth="1"/>
    <col min="13" max="13" width="9.08203125" bestFit="1" customWidth="1"/>
    <col min="14" max="14" width="11.9140625" customWidth="1"/>
  </cols>
  <sheetData>
    <row r="1" spans="1:15" ht="18.600000000000001" x14ac:dyDescent="0.45">
      <c r="A1" s="3" t="s">
        <v>230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223</v>
      </c>
      <c r="B4" s="43">
        <f>480-80</f>
        <v>400</v>
      </c>
      <c r="C4" s="43">
        <f>360-60</f>
        <v>300</v>
      </c>
      <c r="D4" s="43">
        <f>240-40</f>
        <v>200</v>
      </c>
      <c r="E4" s="43">
        <f>120-20</f>
        <v>100</v>
      </c>
      <c r="F4" s="43">
        <f>450-90</f>
        <v>360</v>
      </c>
      <c r="G4" s="43"/>
      <c r="H4" s="43">
        <f>300-60</f>
        <v>240</v>
      </c>
      <c r="I4" s="43">
        <f>450-90</f>
        <v>360</v>
      </c>
      <c r="J4" s="43">
        <f>600-120</f>
        <v>480</v>
      </c>
      <c r="K4" s="43">
        <f>120-20</f>
        <v>100</v>
      </c>
      <c r="L4" s="43"/>
      <c r="M4" s="43">
        <f>240-40</f>
        <v>200</v>
      </c>
      <c r="N4" s="43">
        <f t="shared" ref="N4:N52" si="0">SUM(B4:M4)</f>
        <v>2740</v>
      </c>
      <c r="O4" s="44">
        <f>N4/$N$52</f>
        <v>2.3665106612168977E-3</v>
      </c>
    </row>
    <row r="5" spans="1:15" s="54" customFormat="1" ht="16.8" x14ac:dyDescent="0.4">
      <c r="A5" s="42" t="s">
        <v>222</v>
      </c>
      <c r="B5" s="43">
        <f>200-40</f>
        <v>160</v>
      </c>
      <c r="C5" s="43">
        <f>100-20</f>
        <v>80</v>
      </c>
      <c r="D5" s="43"/>
      <c r="E5" s="43"/>
      <c r="F5" s="43"/>
      <c r="G5" s="43">
        <f>120-20</f>
        <v>100</v>
      </c>
      <c r="H5" s="43">
        <f>120-20</f>
        <v>100</v>
      </c>
      <c r="I5" s="43"/>
      <c r="J5" s="43">
        <f>120-20</f>
        <v>100</v>
      </c>
      <c r="K5" s="43">
        <f>300-60</f>
        <v>240</v>
      </c>
      <c r="L5" s="43">
        <f>100-20</f>
        <v>80</v>
      </c>
      <c r="M5" s="43"/>
      <c r="N5" s="43">
        <f t="shared" si="0"/>
        <v>860</v>
      </c>
      <c r="O5" s="44">
        <f t="shared" ref="O5:O52" si="1">N5/$N$52</f>
        <v>7.4277341921406273E-4</v>
      </c>
    </row>
    <row r="6" spans="1:15" s="54" customFormat="1" ht="16.8" x14ac:dyDescent="0.4">
      <c r="A6" s="42" t="s">
        <v>214</v>
      </c>
      <c r="B6" s="43">
        <f>17052-2262</f>
        <v>14790</v>
      </c>
      <c r="C6" s="43">
        <f>8036-1066</f>
        <v>6970</v>
      </c>
      <c r="D6" s="43">
        <f>8428-1118</f>
        <v>7310</v>
      </c>
      <c r="E6" s="43">
        <f>14896-1976</f>
        <v>12920</v>
      </c>
      <c r="F6" s="43">
        <f>21560-2860</f>
        <v>18700</v>
      </c>
      <c r="G6" s="43">
        <f>17248-2288</f>
        <v>14960</v>
      </c>
      <c r="H6" s="43">
        <f>17836-2366</f>
        <v>15470</v>
      </c>
      <c r="I6" s="43">
        <f>13524-1794</f>
        <v>11730</v>
      </c>
      <c r="J6" s="43">
        <f>13132-1742</f>
        <v>11390</v>
      </c>
      <c r="K6" s="43">
        <f>16268-2158</f>
        <v>14110</v>
      </c>
      <c r="L6" s="43">
        <f>13524-1794</f>
        <v>11730</v>
      </c>
      <c r="M6" s="43">
        <f>14504-1924</f>
        <v>12580</v>
      </c>
      <c r="N6" s="43">
        <f t="shared" si="0"/>
        <v>152660</v>
      </c>
      <c r="O6" s="44">
        <f t="shared" si="1"/>
        <v>0.13185091881071956</v>
      </c>
    </row>
    <row r="7" spans="1:15" s="54" customFormat="1" ht="16.8" x14ac:dyDescent="0.4">
      <c r="A7" s="42" t="s">
        <v>110</v>
      </c>
      <c r="B7" s="51"/>
      <c r="C7" s="51"/>
      <c r="D7" s="51"/>
      <c r="E7" s="51">
        <f>117-15</f>
        <v>102</v>
      </c>
      <c r="F7" s="51">
        <f>117-15</f>
        <v>102</v>
      </c>
      <c r="G7" s="51">
        <f>117-15</f>
        <v>102</v>
      </c>
      <c r="H7" s="51">
        <f>117-15</f>
        <v>102</v>
      </c>
      <c r="I7" s="51"/>
      <c r="J7" s="51"/>
      <c r="K7" s="51">
        <v>0</v>
      </c>
      <c r="L7" s="51"/>
      <c r="M7" s="51"/>
      <c r="N7" s="43">
        <f t="shared" si="0"/>
        <v>408</v>
      </c>
      <c r="O7" s="44">
        <f t="shared" si="1"/>
        <v>3.5238552911550888E-4</v>
      </c>
    </row>
    <row r="8" spans="1:15" s="54" customFormat="1" ht="16.8" x14ac:dyDescent="0.4">
      <c r="A8" s="42" t="s">
        <v>215</v>
      </c>
      <c r="B8" s="51">
        <f>13884-1780</f>
        <v>12104</v>
      </c>
      <c r="C8" s="51">
        <f>7644-980</f>
        <v>6664</v>
      </c>
      <c r="D8" s="51">
        <f>9048-1160</f>
        <v>7888</v>
      </c>
      <c r="E8" s="51">
        <f>19968-2560</f>
        <v>17408</v>
      </c>
      <c r="F8" s="51">
        <f>19968-2560</f>
        <v>17408</v>
      </c>
      <c r="G8" s="51">
        <f>19656-2520</f>
        <v>17136</v>
      </c>
      <c r="H8" s="51">
        <f>18252-2340</f>
        <v>15912</v>
      </c>
      <c r="I8" s="51">
        <f>20748-2660</f>
        <v>18088</v>
      </c>
      <c r="J8" s="51">
        <f>14820-1900</f>
        <v>12920</v>
      </c>
      <c r="K8" s="51">
        <f>20436-2620</f>
        <v>17816</v>
      </c>
      <c r="L8" s="51">
        <f>15600-2000</f>
        <v>13600</v>
      </c>
      <c r="M8" s="51">
        <f>16848-2160</f>
        <v>14688</v>
      </c>
      <c r="N8" s="43">
        <f t="shared" si="0"/>
        <v>171632</v>
      </c>
      <c r="O8" s="44">
        <f t="shared" si="1"/>
        <v>0.14823684591459071</v>
      </c>
    </row>
    <row r="9" spans="1:15" s="54" customFormat="1" ht="16.8" x14ac:dyDescent="0.4">
      <c r="A9" s="42" t="s">
        <v>216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43">
        <f t="shared" si="0"/>
        <v>0</v>
      </c>
      <c r="O9" s="44">
        <f t="shared" si="1"/>
        <v>0</v>
      </c>
    </row>
    <row r="10" spans="1:15" s="54" customFormat="1" ht="16.8" x14ac:dyDescent="0.4">
      <c r="A10" s="42" t="s">
        <v>156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43">
        <f t="shared" si="0"/>
        <v>0</v>
      </c>
      <c r="O10" s="44">
        <f t="shared" si="1"/>
        <v>0</v>
      </c>
    </row>
    <row r="11" spans="1:15" s="54" customFormat="1" ht="16.8" x14ac:dyDescent="0.4">
      <c r="A11" s="42" t="s">
        <v>184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>
        <f t="shared" si="0"/>
        <v>0</v>
      </c>
      <c r="O11" s="44">
        <f t="shared" si="1"/>
        <v>0</v>
      </c>
    </row>
    <row r="12" spans="1:15" s="54" customFormat="1" ht="16.8" x14ac:dyDescent="0.4">
      <c r="A12" s="42" t="s">
        <v>231</v>
      </c>
      <c r="B12" s="52">
        <f>5621-730</f>
        <v>4891</v>
      </c>
      <c r="C12" s="52">
        <f>7238-940</f>
        <v>6298</v>
      </c>
      <c r="D12" s="52">
        <f>8162-1060</f>
        <v>7102</v>
      </c>
      <c r="E12" s="52">
        <f>5929-770</f>
        <v>5159</v>
      </c>
      <c r="F12" s="52">
        <f>9856-1280</f>
        <v>8576</v>
      </c>
      <c r="G12" s="52">
        <f>8470-1100</f>
        <v>7370</v>
      </c>
      <c r="H12" s="52">
        <f>9163-1190</f>
        <v>7973</v>
      </c>
      <c r="I12" s="52">
        <f>7854-1020</f>
        <v>6834</v>
      </c>
      <c r="J12" s="52">
        <f>7469-970</f>
        <v>6499</v>
      </c>
      <c r="K12" s="52">
        <f>8470-1100</f>
        <v>7370</v>
      </c>
      <c r="L12" s="52">
        <f>6545-850</f>
        <v>5695</v>
      </c>
      <c r="M12" s="52">
        <f>5236-680</f>
        <v>4556</v>
      </c>
      <c r="N12" s="52">
        <f t="shared" si="0"/>
        <v>78323</v>
      </c>
      <c r="O12" s="44">
        <f t="shared" si="1"/>
        <v>6.7646793619887249E-2</v>
      </c>
    </row>
    <row r="13" spans="1:15" s="54" customFormat="1" ht="16.8" x14ac:dyDescent="0.4">
      <c r="A13" s="42" t="s">
        <v>157</v>
      </c>
      <c r="B13" s="52"/>
      <c r="C13" s="52"/>
      <c r="D13" s="52"/>
      <c r="E13" s="52"/>
      <c r="F13" s="52">
        <f>6550-1310</f>
        <v>5240</v>
      </c>
      <c r="G13" s="52">
        <f>17420-3484</f>
        <v>13936</v>
      </c>
      <c r="H13" s="52">
        <f>24740-4948</f>
        <v>19792</v>
      </c>
      <c r="I13" s="52">
        <f>25550-5110</f>
        <v>20440</v>
      </c>
      <c r="J13" s="52">
        <f>14985-2997</f>
        <v>11988</v>
      </c>
      <c r="K13" s="52">
        <v>0</v>
      </c>
      <c r="L13" s="52"/>
      <c r="M13" s="52"/>
      <c r="N13" s="52">
        <f t="shared" si="0"/>
        <v>71396</v>
      </c>
      <c r="O13" s="44">
        <f t="shared" si="1"/>
        <v>6.1664012835124682E-2</v>
      </c>
    </row>
    <row r="14" spans="1:15" s="54" customFormat="1" ht="16.8" x14ac:dyDescent="0.4">
      <c r="A14" s="42" t="s">
        <v>180</v>
      </c>
      <c r="B14" s="52">
        <f>7144-1786</f>
        <v>5358</v>
      </c>
      <c r="C14" s="52">
        <f>5728-1432</f>
        <v>4296</v>
      </c>
      <c r="D14" s="52">
        <f>10564-2641</f>
        <v>7923</v>
      </c>
      <c r="E14" s="52">
        <f>9644-2411</f>
        <v>7233</v>
      </c>
      <c r="F14" s="52">
        <f>7020-1755</f>
        <v>5265</v>
      </c>
      <c r="G14" s="52"/>
      <c r="H14" s="52"/>
      <c r="I14" s="52"/>
      <c r="J14" s="52"/>
      <c r="K14" s="52">
        <f>8272-2068</f>
        <v>6204</v>
      </c>
      <c r="L14" s="52">
        <f>8676-2169</f>
        <v>6507</v>
      </c>
      <c r="M14" s="52">
        <f>7800-1950</f>
        <v>5850</v>
      </c>
      <c r="N14" s="52">
        <f t="shared" si="0"/>
        <v>48636</v>
      </c>
      <c r="O14" s="44">
        <f t="shared" si="1"/>
        <v>4.2006427926622278E-2</v>
      </c>
    </row>
    <row r="15" spans="1:15" s="54" customFormat="1" ht="16.8" x14ac:dyDescent="0.4">
      <c r="A15" s="42" t="s">
        <v>113</v>
      </c>
      <c r="B15" s="52"/>
      <c r="C15" s="52"/>
      <c r="D15" s="52"/>
      <c r="E15" s="52"/>
      <c r="F15" s="52">
        <f>17085-3417</f>
        <v>13668</v>
      </c>
      <c r="G15" s="52">
        <f>40065-8013</f>
        <v>32052</v>
      </c>
      <c r="H15" s="52">
        <f>51270-10254</f>
        <v>41016</v>
      </c>
      <c r="I15" s="52">
        <f>51180-10236</f>
        <v>40944</v>
      </c>
      <c r="J15" s="52">
        <f>35610-7122</f>
        <v>28488</v>
      </c>
      <c r="K15" s="52">
        <v>0</v>
      </c>
      <c r="L15" s="52"/>
      <c r="M15" s="52"/>
      <c r="N15" s="52">
        <f t="shared" si="0"/>
        <v>156168</v>
      </c>
      <c r="O15" s="44">
        <f t="shared" si="1"/>
        <v>0.13488074340909506</v>
      </c>
    </row>
    <row r="16" spans="1:15" s="54" customFormat="1" ht="16.8" x14ac:dyDescent="0.4">
      <c r="A16" s="42" t="s">
        <v>179</v>
      </c>
      <c r="B16" s="52">
        <f>22836-3806</f>
        <v>19030</v>
      </c>
      <c r="C16" s="52">
        <f>16572-2762</f>
        <v>13810</v>
      </c>
      <c r="D16" s="52">
        <f>9792-1632</f>
        <v>8160</v>
      </c>
      <c r="E16" s="52">
        <f>29412-4902</f>
        <v>24510</v>
      </c>
      <c r="F16" s="52">
        <f>19248-3208</f>
        <v>16040</v>
      </c>
      <c r="G16" s="52"/>
      <c r="H16" s="52"/>
      <c r="I16" s="52"/>
      <c r="J16" s="52"/>
      <c r="K16" s="52">
        <f>25188-4198</f>
        <v>20990</v>
      </c>
      <c r="L16" s="52">
        <f>27216-4536</f>
        <v>22680</v>
      </c>
      <c r="M16" s="52">
        <f>24984-4164</f>
        <v>20820</v>
      </c>
      <c r="N16" s="52">
        <f t="shared" si="0"/>
        <v>146040</v>
      </c>
      <c r="O16" s="44">
        <f t="shared" si="1"/>
        <v>0.12613329086281597</v>
      </c>
    </row>
    <row r="17" spans="1:15" s="54" customFormat="1" ht="16.8" x14ac:dyDescent="0.4">
      <c r="A17" s="42" t="s">
        <v>114</v>
      </c>
      <c r="B17" s="52"/>
      <c r="C17" s="52"/>
      <c r="D17" s="52"/>
      <c r="E17" s="52">
        <f>240</f>
        <v>240</v>
      </c>
      <c r="F17" s="52">
        <f>120+500</f>
        <v>620</v>
      </c>
      <c r="G17" s="52">
        <f>120+500</f>
        <v>620</v>
      </c>
      <c r="H17" s="52"/>
      <c r="I17" s="52">
        <v>620</v>
      </c>
      <c r="J17" s="52"/>
      <c r="K17" s="52"/>
      <c r="L17" s="52">
        <f>120+500</f>
        <v>620</v>
      </c>
      <c r="M17" s="52">
        <v>500</v>
      </c>
      <c r="N17" s="52">
        <f t="shared" si="0"/>
        <v>3220</v>
      </c>
      <c r="O17" s="44">
        <f t="shared" si="1"/>
        <v>2.7810818719410258E-3</v>
      </c>
    </row>
    <row r="18" spans="1:15" s="54" customFormat="1" ht="16.8" x14ac:dyDescent="0.4">
      <c r="A18" s="42" t="s">
        <v>7</v>
      </c>
      <c r="B18" s="52"/>
      <c r="C18" s="52"/>
      <c r="D18" s="52">
        <f>248-58</f>
        <v>190</v>
      </c>
      <c r="E18" s="52"/>
      <c r="F18" s="52"/>
      <c r="G18" s="52"/>
      <c r="H18" s="52"/>
      <c r="I18" s="52"/>
      <c r="J18" s="52"/>
      <c r="K18" s="52"/>
      <c r="L18" s="52"/>
      <c r="M18" s="52"/>
      <c r="N18" s="52">
        <f t="shared" si="0"/>
        <v>190</v>
      </c>
      <c r="O18" s="44">
        <f t="shared" si="1"/>
        <v>1.6410110424496736E-4</v>
      </c>
    </row>
    <row r="19" spans="1:15" s="54" customFormat="1" ht="16.8" x14ac:dyDescent="0.4">
      <c r="A19" s="42" t="s">
        <v>158</v>
      </c>
      <c r="B19" s="52"/>
      <c r="C19" s="52"/>
      <c r="D19" s="52"/>
      <c r="E19" s="52"/>
      <c r="F19" s="52">
        <f>50-10</f>
        <v>40</v>
      </c>
      <c r="G19" s="52">
        <f>200-40</f>
        <v>160</v>
      </c>
      <c r="H19" s="52">
        <f>400-80</f>
        <v>320</v>
      </c>
      <c r="I19" s="52">
        <f>390-78</f>
        <v>312</v>
      </c>
      <c r="J19" s="52">
        <f>170-34</f>
        <v>136</v>
      </c>
      <c r="K19" s="52"/>
      <c r="L19" s="52"/>
      <c r="M19" s="52"/>
      <c r="N19" s="52">
        <f t="shared" si="0"/>
        <v>968</v>
      </c>
      <c r="O19" s="44">
        <f t="shared" si="1"/>
        <v>8.3605194162699164E-4</v>
      </c>
    </row>
    <row r="20" spans="1:15" s="54" customFormat="1" ht="16.8" x14ac:dyDescent="0.4">
      <c r="A20" s="42" t="s">
        <v>185</v>
      </c>
      <c r="B20" s="52">
        <f>70-10</f>
        <v>60</v>
      </c>
      <c r="C20" s="52">
        <f>28-4</f>
        <v>24</v>
      </c>
      <c r="D20" s="52">
        <f>49-7</f>
        <v>42</v>
      </c>
      <c r="E20" s="52">
        <f>91-13</f>
        <v>78</v>
      </c>
      <c r="F20" s="52">
        <f>210-30</f>
        <v>180</v>
      </c>
      <c r="G20" s="52"/>
      <c r="H20" s="52"/>
      <c r="I20" s="52"/>
      <c r="J20" s="52"/>
      <c r="K20" s="52">
        <f>21-3</f>
        <v>18</v>
      </c>
      <c r="L20" s="52"/>
      <c r="M20" s="52">
        <f>14-2</f>
        <v>12</v>
      </c>
      <c r="N20" s="52">
        <f t="shared" si="0"/>
        <v>414</v>
      </c>
      <c r="O20" s="44">
        <f t="shared" si="1"/>
        <v>3.5756766924956043E-4</v>
      </c>
    </row>
    <row r="21" spans="1:15" s="54" customFormat="1" ht="16.8" x14ac:dyDescent="0.4">
      <c r="A21" s="42" t="s">
        <v>10</v>
      </c>
      <c r="B21" s="52">
        <f>104.5</f>
        <v>104.5</v>
      </c>
      <c r="C21" s="52">
        <v>99</v>
      </c>
      <c r="D21" s="52">
        <v>110</v>
      </c>
      <c r="E21" s="52">
        <v>93.5</v>
      </c>
      <c r="F21" s="52">
        <v>115.5</v>
      </c>
      <c r="G21" s="52">
        <v>82.5</v>
      </c>
      <c r="H21" s="52"/>
      <c r="I21" s="52"/>
      <c r="J21" s="52">
        <v>99</v>
      </c>
      <c r="K21" s="52">
        <v>126.5</v>
      </c>
      <c r="L21" s="52">
        <v>93.5</v>
      </c>
      <c r="M21" s="52">
        <v>82.5</v>
      </c>
      <c r="N21" s="52">
        <f>SUM(B21:M21)</f>
        <v>1006.5</v>
      </c>
      <c r="O21" s="44">
        <f t="shared" si="1"/>
        <v>8.6930400748715607E-4</v>
      </c>
    </row>
    <row r="22" spans="1:15" s="54" customFormat="1" ht="16.8" x14ac:dyDescent="0.4">
      <c r="A22" s="42" t="s">
        <v>11</v>
      </c>
      <c r="B22" s="52">
        <f>8-2</f>
        <v>6</v>
      </c>
      <c r="C22" s="52">
        <f>24-6</f>
        <v>18</v>
      </c>
      <c r="D22" s="52">
        <f>8-2</f>
        <v>6</v>
      </c>
      <c r="E22" s="52">
        <f>16-4</f>
        <v>12</v>
      </c>
      <c r="F22" s="52">
        <f>8-2</f>
        <v>6</v>
      </c>
      <c r="G22" s="52">
        <f>64-16</f>
        <v>48</v>
      </c>
      <c r="H22" s="52">
        <f>8-2</f>
        <v>6</v>
      </c>
      <c r="I22" s="52">
        <f>40-10</f>
        <v>30</v>
      </c>
      <c r="J22" s="52">
        <f>56-14</f>
        <v>42</v>
      </c>
      <c r="K22" s="52">
        <f>48-12</f>
        <v>36</v>
      </c>
      <c r="L22" s="52">
        <f>8-2</f>
        <v>6</v>
      </c>
      <c r="M22" s="52"/>
      <c r="N22" s="52">
        <f t="shared" si="0"/>
        <v>216</v>
      </c>
      <c r="O22" s="44">
        <f t="shared" si="1"/>
        <v>1.8655704482585764E-4</v>
      </c>
    </row>
    <row r="23" spans="1:15" s="54" customFormat="1" ht="16.8" x14ac:dyDescent="0.4">
      <c r="A23" s="42" t="s">
        <v>159</v>
      </c>
      <c r="B23" s="52"/>
      <c r="C23" s="52"/>
      <c r="D23" s="52"/>
      <c r="E23" s="52"/>
      <c r="F23" s="52">
        <f>4608-768</f>
        <v>3840</v>
      </c>
      <c r="G23" s="52">
        <f>12144-2024</f>
        <v>10120</v>
      </c>
      <c r="H23" s="52">
        <f>13668-2278</f>
        <v>11390</v>
      </c>
      <c r="I23" s="52">
        <f>14340-2390</f>
        <v>11950</v>
      </c>
      <c r="J23" s="52">
        <f>10692-1782</f>
        <v>8910</v>
      </c>
      <c r="K23" s="52"/>
      <c r="L23" s="52"/>
      <c r="M23" s="52"/>
      <c r="N23" s="52">
        <f>SUM(B23:M23)</f>
        <v>46210</v>
      </c>
      <c r="O23" s="44">
        <f t="shared" si="1"/>
        <v>3.9911115932420749E-2</v>
      </c>
    </row>
    <row r="24" spans="1:15" s="54" customFormat="1" ht="16.8" x14ac:dyDescent="0.4">
      <c r="A24" s="42" t="s">
        <v>181</v>
      </c>
      <c r="B24" s="52">
        <f>7210-1442</f>
        <v>5768</v>
      </c>
      <c r="C24" s="52">
        <f>4790-958</f>
        <v>3832</v>
      </c>
      <c r="D24" s="52">
        <f>3080-616</f>
        <v>2464</v>
      </c>
      <c r="E24" s="52">
        <f>8790-1758</f>
        <v>7032</v>
      </c>
      <c r="F24" s="52">
        <f>6790-1358</f>
        <v>5432</v>
      </c>
      <c r="G24" s="52"/>
      <c r="H24" s="52"/>
      <c r="I24" s="52"/>
      <c r="J24" s="52"/>
      <c r="K24" s="52">
        <f>8180-1636</f>
        <v>6544</v>
      </c>
      <c r="L24" s="52">
        <f>7380-1476</f>
        <v>5904</v>
      </c>
      <c r="M24" s="52">
        <f>7210-1442</f>
        <v>5768</v>
      </c>
      <c r="N24" s="52">
        <f>SUM(B24:M24)</f>
        <v>42744</v>
      </c>
      <c r="O24" s="44">
        <f t="shared" si="1"/>
        <v>3.6917566314983601E-2</v>
      </c>
    </row>
    <row r="25" spans="1:15" s="54" customFormat="1" ht="16.8" x14ac:dyDescent="0.4">
      <c r="A25" s="42" t="s">
        <v>211</v>
      </c>
      <c r="B25" s="52"/>
      <c r="C25" s="52"/>
      <c r="D25" s="52"/>
      <c r="E25" s="52"/>
      <c r="F25" s="52">
        <f>2121-353.5</f>
        <v>1767.5</v>
      </c>
      <c r="G25" s="52">
        <f>5676-946</f>
        <v>4730</v>
      </c>
      <c r="H25" s="52">
        <f>9426-1571</f>
        <v>7855</v>
      </c>
      <c r="I25" s="52">
        <f>9636-1606</f>
        <v>8030</v>
      </c>
      <c r="J25" s="52">
        <f>4326-721</f>
        <v>3605</v>
      </c>
      <c r="K25" s="52"/>
      <c r="L25" s="52"/>
      <c r="M25" s="52"/>
      <c r="N25" s="52">
        <f>SUM(B25:M25)</f>
        <v>25987.5</v>
      </c>
      <c r="O25" s="44">
        <f t="shared" si="1"/>
        <v>2.2445144455610997E-2</v>
      </c>
    </row>
    <row r="26" spans="1:15" s="54" customFormat="1" ht="16.8" x14ac:dyDescent="0.4">
      <c r="A26" s="42" t="s">
        <v>212</v>
      </c>
      <c r="B26" s="52">
        <f>1530</f>
        <v>1530</v>
      </c>
      <c r="C26" s="52">
        <f>1432</f>
        <v>1432</v>
      </c>
      <c r="D26" s="52">
        <f>2404</f>
        <v>2404</v>
      </c>
      <c r="E26" s="52">
        <f>2726</f>
        <v>2726</v>
      </c>
      <c r="F26" s="52">
        <f>1806</f>
        <v>1806</v>
      </c>
      <c r="G26" s="52"/>
      <c r="H26" s="52"/>
      <c r="I26" s="52"/>
      <c r="J26" s="52"/>
      <c r="K26" s="52">
        <f>1934</f>
        <v>1934</v>
      </c>
      <c r="L26" s="52">
        <v>2042</v>
      </c>
      <c r="M26" s="52">
        <f>2002</f>
        <v>2002</v>
      </c>
      <c r="N26" s="52">
        <f>SUM(B26:M26)</f>
        <v>15876</v>
      </c>
      <c r="O26" s="44">
        <f t="shared" si="1"/>
        <v>1.3711942794700536E-2</v>
      </c>
    </row>
    <row r="27" spans="1:15" s="54" customFormat="1" ht="16.8" x14ac:dyDescent="0.4">
      <c r="A27" s="42" t="s">
        <v>186</v>
      </c>
      <c r="B27" s="52"/>
      <c r="C27" s="52"/>
      <c r="D27" s="52"/>
      <c r="E27" s="52"/>
      <c r="F27" s="52">
        <f>9-2</f>
        <v>7</v>
      </c>
      <c r="G27" s="52">
        <f>45-10</f>
        <v>35</v>
      </c>
      <c r="H27" s="52">
        <f>63-14</f>
        <v>49</v>
      </c>
      <c r="I27" s="52">
        <f>54-12</f>
        <v>42</v>
      </c>
      <c r="J27" s="52">
        <f>27-6</f>
        <v>21</v>
      </c>
      <c r="K27" s="52"/>
      <c r="L27" s="52"/>
      <c r="M27" s="52"/>
      <c r="N27" s="52">
        <f t="shared" si="0"/>
        <v>154</v>
      </c>
      <c r="O27" s="44">
        <f t="shared" si="1"/>
        <v>1.3300826344065774E-4</v>
      </c>
    </row>
    <row r="28" spans="1:15" s="54" customFormat="1" ht="16.8" x14ac:dyDescent="0.4">
      <c r="A28" s="42" t="s">
        <v>182</v>
      </c>
      <c r="B28" s="52">
        <f>12-2</f>
        <v>10</v>
      </c>
      <c r="C28" s="52"/>
      <c r="D28" s="52">
        <f>6-1</f>
        <v>5</v>
      </c>
      <c r="E28" s="52">
        <f>6-1</f>
        <v>5</v>
      </c>
      <c r="F28" s="52">
        <f>12-2</f>
        <v>10</v>
      </c>
      <c r="G28" s="52"/>
      <c r="H28" s="52"/>
      <c r="I28" s="52"/>
      <c r="J28" s="52"/>
      <c r="K28" s="52">
        <f>6-1</f>
        <v>5</v>
      </c>
      <c r="L28" s="52"/>
      <c r="M28" s="52"/>
      <c r="N28" s="52">
        <f t="shared" si="0"/>
        <v>35</v>
      </c>
      <c r="O28" s="44">
        <f t="shared" si="1"/>
        <v>3.0229150781967673E-5</v>
      </c>
    </row>
    <row r="29" spans="1:15" s="54" customFormat="1" ht="16.8" x14ac:dyDescent="0.4">
      <c r="A29" s="42" t="s">
        <v>232</v>
      </c>
      <c r="B29" s="52">
        <f>3266-426</f>
        <v>2840</v>
      </c>
      <c r="C29" s="52">
        <f>3588-468</f>
        <v>3120</v>
      </c>
      <c r="D29" s="52">
        <f>4416-576</f>
        <v>3840</v>
      </c>
      <c r="E29" s="52">
        <f>4140-540</f>
        <v>3600</v>
      </c>
      <c r="F29" s="52">
        <f>4140-540</f>
        <v>3600</v>
      </c>
      <c r="G29" s="52">
        <f>5658-738</f>
        <v>4920</v>
      </c>
      <c r="H29" s="52">
        <f>5382-702</f>
        <v>4680</v>
      </c>
      <c r="I29" s="52">
        <f>5060-660</f>
        <v>4400</v>
      </c>
      <c r="J29" s="52">
        <f>4692-612</f>
        <v>4080</v>
      </c>
      <c r="K29" s="52">
        <f>4830-630</f>
        <v>4200</v>
      </c>
      <c r="L29" s="52">
        <f>2990-390</f>
        <v>2600</v>
      </c>
      <c r="M29" s="52">
        <f>3864-504</f>
        <v>3360</v>
      </c>
      <c r="N29" s="52">
        <f>SUM(B29:M29)</f>
        <v>45240</v>
      </c>
      <c r="O29" s="44">
        <f t="shared" si="1"/>
        <v>3.907333661074907E-2</v>
      </c>
    </row>
    <row r="30" spans="1:15" s="54" customFormat="1" ht="16.8" x14ac:dyDescent="0.4">
      <c r="A30" s="42" t="s">
        <v>162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>
        <f t="shared" si="0"/>
        <v>0</v>
      </c>
      <c r="O30" s="44">
        <f t="shared" si="1"/>
        <v>0</v>
      </c>
    </row>
    <row r="31" spans="1:15" s="54" customFormat="1" ht="16.8" x14ac:dyDescent="0.4">
      <c r="A31" s="42" t="s">
        <v>183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>
        <f t="shared" si="0"/>
        <v>0</v>
      </c>
      <c r="O31" s="44">
        <f t="shared" si="1"/>
        <v>0</v>
      </c>
    </row>
    <row r="32" spans="1:15" s="54" customFormat="1" ht="16.8" x14ac:dyDescent="0.4">
      <c r="A32" s="42" t="s">
        <v>196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>
        <f t="shared" si="0"/>
        <v>0</v>
      </c>
      <c r="O32" s="44">
        <f t="shared" si="1"/>
        <v>0</v>
      </c>
    </row>
    <row r="33" spans="1:15" s="54" customFormat="1" ht="16.8" x14ac:dyDescent="0.4">
      <c r="A33" s="42" t="s">
        <v>163</v>
      </c>
      <c r="B33" s="52"/>
      <c r="C33" s="52"/>
      <c r="D33" s="52"/>
      <c r="E33" s="52"/>
      <c r="F33" s="52">
        <f>2667-635</f>
        <v>2032</v>
      </c>
      <c r="G33" s="52">
        <f>6468-1540</f>
        <v>4928</v>
      </c>
      <c r="H33" s="52">
        <f>7182-1710</f>
        <v>5472</v>
      </c>
      <c r="I33" s="52">
        <f>7518-1790</f>
        <v>5728</v>
      </c>
      <c r="J33" s="52">
        <f>7035-1675</f>
        <v>5360</v>
      </c>
      <c r="K33" s="52"/>
      <c r="L33" s="52"/>
      <c r="M33" s="52"/>
      <c r="N33" s="52">
        <f t="shared" si="0"/>
        <v>23520</v>
      </c>
      <c r="O33" s="44">
        <f t="shared" si="1"/>
        <v>2.0313989325482274E-2</v>
      </c>
    </row>
    <row r="34" spans="1:15" s="54" customFormat="1" ht="16.8" x14ac:dyDescent="0.4">
      <c r="A34" s="42" t="s">
        <v>187</v>
      </c>
      <c r="B34" s="52">
        <f>3332-784</f>
        <v>2548</v>
      </c>
      <c r="C34" s="52">
        <f>2414-568</f>
        <v>1846</v>
      </c>
      <c r="D34" s="52">
        <f>1360-320</f>
        <v>1040</v>
      </c>
      <c r="E34" s="52">
        <f>4233-996</f>
        <v>3237</v>
      </c>
      <c r="F34" s="52">
        <f>3094-728</f>
        <v>2366</v>
      </c>
      <c r="G34" s="52"/>
      <c r="H34" s="52"/>
      <c r="I34" s="52"/>
      <c r="J34" s="52"/>
      <c r="K34" s="52">
        <f>6613-1556</f>
        <v>5057</v>
      </c>
      <c r="L34" s="52">
        <f>4709-1108</f>
        <v>3601</v>
      </c>
      <c r="M34" s="52">
        <f>3791-892</f>
        <v>2899</v>
      </c>
      <c r="N34" s="52">
        <f t="shared" si="0"/>
        <v>22594</v>
      </c>
      <c r="O34" s="44">
        <f t="shared" si="1"/>
        <v>1.9514212364793646E-2</v>
      </c>
    </row>
    <row r="35" spans="1:15" s="54" customFormat="1" ht="16.8" x14ac:dyDescent="0.4">
      <c r="A35" s="42" t="s">
        <v>164</v>
      </c>
      <c r="B35" s="52"/>
      <c r="C35" s="52"/>
      <c r="D35" s="52"/>
      <c r="E35" s="52"/>
      <c r="F35" s="52">
        <f>1410-329</f>
        <v>1081</v>
      </c>
      <c r="G35" s="52">
        <f>3660-854</f>
        <v>2806</v>
      </c>
      <c r="H35" s="52">
        <f>3510-819</f>
        <v>2691</v>
      </c>
      <c r="I35" s="52">
        <f>2970-693</f>
        <v>2277</v>
      </c>
      <c r="J35" s="52">
        <f>2970-693</f>
        <v>2277</v>
      </c>
      <c r="K35" s="52"/>
      <c r="L35" s="52"/>
      <c r="M35" s="52"/>
      <c r="N35" s="52">
        <f t="shared" si="0"/>
        <v>11132</v>
      </c>
      <c r="O35" s="44">
        <f t="shared" si="1"/>
        <v>9.6145973287104034E-3</v>
      </c>
    </row>
    <row r="36" spans="1:15" s="54" customFormat="1" ht="16.8" x14ac:dyDescent="0.4">
      <c r="A36" s="42" t="s">
        <v>188</v>
      </c>
      <c r="B36" s="52">
        <f>1925-462</f>
        <v>1463</v>
      </c>
      <c r="C36" s="52">
        <f>1350-324</f>
        <v>1026</v>
      </c>
      <c r="D36" s="52">
        <f>700-168</f>
        <v>532</v>
      </c>
      <c r="E36" s="52">
        <f>2350-564</f>
        <v>1786</v>
      </c>
      <c r="F36" s="52">
        <f>2275-546</f>
        <v>1729</v>
      </c>
      <c r="G36" s="52"/>
      <c r="H36" s="52"/>
      <c r="I36" s="52"/>
      <c r="J36" s="52"/>
      <c r="K36" s="52">
        <f>3650-876</f>
        <v>2774</v>
      </c>
      <c r="L36" s="52">
        <f>1850-444</f>
        <v>1406</v>
      </c>
      <c r="M36" s="52">
        <f>1050-252</f>
        <v>798</v>
      </c>
      <c r="N36" s="52">
        <f t="shared" si="0"/>
        <v>11514</v>
      </c>
      <c r="O36" s="44">
        <f t="shared" si="1"/>
        <v>9.9445269172450217E-3</v>
      </c>
    </row>
    <row r="37" spans="1:15" s="54" customFormat="1" ht="16.8" x14ac:dyDescent="0.4">
      <c r="A37" s="42" t="s">
        <v>165</v>
      </c>
      <c r="B37" s="52"/>
      <c r="C37" s="52"/>
      <c r="D37" s="52"/>
      <c r="E37" s="52"/>
      <c r="F37" s="52">
        <f>1209-279</f>
        <v>930</v>
      </c>
      <c r="G37" s="52">
        <f>3822-882</f>
        <v>2940</v>
      </c>
      <c r="H37" s="52">
        <f>3120-720</f>
        <v>2400</v>
      </c>
      <c r="I37" s="52">
        <f>4290-990</f>
        <v>3300</v>
      </c>
      <c r="J37" s="52">
        <f>3276-756</f>
        <v>2520</v>
      </c>
      <c r="K37" s="52"/>
      <c r="L37" s="52"/>
      <c r="M37" s="52"/>
      <c r="N37" s="52">
        <f t="shared" si="0"/>
        <v>12090</v>
      </c>
      <c r="O37" s="44">
        <f t="shared" si="1"/>
        <v>1.0442012370113975E-2</v>
      </c>
    </row>
    <row r="38" spans="1:15" s="54" customFormat="1" ht="16.8" x14ac:dyDescent="0.4">
      <c r="A38" s="42" t="s">
        <v>189</v>
      </c>
      <c r="B38" s="52">
        <f>1683-408</f>
        <v>1275</v>
      </c>
      <c r="C38" s="52">
        <f>1089-264</f>
        <v>825</v>
      </c>
      <c r="D38" s="52">
        <f>594-144</f>
        <v>450</v>
      </c>
      <c r="E38" s="52">
        <f>2706-656</f>
        <v>2050</v>
      </c>
      <c r="F38" s="52">
        <f>1419-344</f>
        <v>1075</v>
      </c>
      <c r="G38" s="52"/>
      <c r="H38" s="52"/>
      <c r="I38" s="52"/>
      <c r="J38" s="52"/>
      <c r="K38" s="52">
        <f>2211-536</f>
        <v>1675</v>
      </c>
      <c r="L38" s="52">
        <f>1947-472</f>
        <v>1475</v>
      </c>
      <c r="M38" s="52">
        <f>1419-344</f>
        <v>1075</v>
      </c>
      <c r="N38" s="52">
        <f t="shared" si="0"/>
        <v>9900</v>
      </c>
      <c r="O38" s="44">
        <f t="shared" si="1"/>
        <v>8.5505312211851415E-3</v>
      </c>
    </row>
    <row r="39" spans="1:15" s="54" customFormat="1" ht="16.8" x14ac:dyDescent="0.4">
      <c r="A39" s="42" t="s">
        <v>166</v>
      </c>
      <c r="B39" s="52"/>
      <c r="C39" s="52"/>
      <c r="D39" s="52"/>
      <c r="E39" s="52"/>
      <c r="F39" s="52">
        <f>1530-360</f>
        <v>1170</v>
      </c>
      <c r="G39" s="52">
        <f>4488-1056</f>
        <v>3432</v>
      </c>
      <c r="H39" s="52">
        <f>4590-1080</f>
        <v>3510</v>
      </c>
      <c r="I39" s="52">
        <f>4233-996</f>
        <v>3237</v>
      </c>
      <c r="J39" s="52">
        <f>3978-936</f>
        <v>3042</v>
      </c>
      <c r="K39" s="52"/>
      <c r="L39" s="52"/>
      <c r="M39" s="52"/>
      <c r="N39" s="52">
        <f t="shared" si="0"/>
        <v>14391</v>
      </c>
      <c r="O39" s="44">
        <f t="shared" si="1"/>
        <v>1.2429363111522764E-2</v>
      </c>
    </row>
    <row r="40" spans="1:15" s="54" customFormat="1" ht="16.8" x14ac:dyDescent="0.4">
      <c r="A40" s="42" t="s">
        <v>190</v>
      </c>
      <c r="B40" s="52">
        <f>2184-520</f>
        <v>1664</v>
      </c>
      <c r="C40" s="52">
        <f>1344-320</f>
        <v>1024</v>
      </c>
      <c r="D40" s="52">
        <f>630-150</f>
        <v>480</v>
      </c>
      <c r="E40" s="52">
        <f>2352-560</f>
        <v>1792</v>
      </c>
      <c r="F40" s="52">
        <f>1722-410</f>
        <v>1312</v>
      </c>
      <c r="G40" s="52"/>
      <c r="H40" s="52"/>
      <c r="I40" s="52"/>
      <c r="J40" s="52"/>
      <c r="K40" s="52">
        <f>3570-850</f>
        <v>2720</v>
      </c>
      <c r="L40" s="52">
        <f>1848-440</f>
        <v>1408</v>
      </c>
      <c r="M40" s="52">
        <f>1890-450</f>
        <v>1440</v>
      </c>
      <c r="N40" s="52">
        <f t="shared" si="0"/>
        <v>11840</v>
      </c>
      <c r="O40" s="44">
        <f t="shared" si="1"/>
        <v>1.0226089864528493E-2</v>
      </c>
    </row>
    <row r="41" spans="1:15" s="54" customFormat="1" ht="16.8" x14ac:dyDescent="0.4">
      <c r="A41" s="42" t="s">
        <v>167</v>
      </c>
      <c r="B41" s="52"/>
      <c r="C41" s="52"/>
      <c r="D41" s="52"/>
      <c r="E41" s="52"/>
      <c r="F41" s="52">
        <f>896-210</f>
        <v>686</v>
      </c>
      <c r="G41" s="52">
        <f>1600-375</f>
        <v>1225</v>
      </c>
      <c r="H41" s="52">
        <f>2432-570</f>
        <v>1862</v>
      </c>
      <c r="I41" s="52">
        <f>1792-420</f>
        <v>1372</v>
      </c>
      <c r="J41" s="52">
        <f>1792-420</f>
        <v>1372</v>
      </c>
      <c r="K41" s="52"/>
      <c r="L41" s="52"/>
      <c r="M41" s="52"/>
      <c r="N41" s="52">
        <f t="shared" si="0"/>
        <v>6517</v>
      </c>
      <c r="O41" s="44">
        <f t="shared" si="1"/>
        <v>5.6286678756023801E-3</v>
      </c>
    </row>
    <row r="42" spans="1:15" s="54" customFormat="1" ht="16.8" x14ac:dyDescent="0.4">
      <c r="A42" s="42" t="s">
        <v>191</v>
      </c>
      <c r="B42" s="52">
        <f>780-180</f>
        <v>600</v>
      </c>
      <c r="C42" s="52">
        <f>208-48</f>
        <v>160</v>
      </c>
      <c r="D42" s="52">
        <f>624-144</f>
        <v>480</v>
      </c>
      <c r="E42" s="52">
        <f>936-216</f>
        <v>720</v>
      </c>
      <c r="F42" s="52">
        <f>572-132</f>
        <v>440</v>
      </c>
      <c r="G42" s="52"/>
      <c r="H42" s="52"/>
      <c r="I42" s="52"/>
      <c r="J42" s="52"/>
      <c r="K42" s="52">
        <f>1352-312</f>
        <v>1040</v>
      </c>
      <c r="L42" s="52">
        <f>1092-252</f>
        <v>840</v>
      </c>
      <c r="M42" s="52">
        <f>468-108</f>
        <v>360</v>
      </c>
      <c r="N42" s="52">
        <f t="shared" si="0"/>
        <v>4640</v>
      </c>
      <c r="O42" s="44">
        <f t="shared" si="1"/>
        <v>4.0075217036665712E-3</v>
      </c>
    </row>
    <row r="43" spans="1:15" s="54" customFormat="1" ht="16.8" x14ac:dyDescent="0.4">
      <c r="A43" s="42" t="s">
        <v>168</v>
      </c>
      <c r="B43" s="52"/>
      <c r="C43" s="52"/>
      <c r="D43" s="52"/>
      <c r="E43" s="52"/>
      <c r="F43" s="52">
        <f>468-108</f>
        <v>360</v>
      </c>
      <c r="G43" s="52">
        <f>1170-270</f>
        <v>900</v>
      </c>
      <c r="H43" s="52">
        <f>2106-486</f>
        <v>1620</v>
      </c>
      <c r="I43" s="52">
        <f>1092-252</f>
        <v>840</v>
      </c>
      <c r="J43" s="52">
        <f>1170-270</f>
        <v>900</v>
      </c>
      <c r="K43" s="52"/>
      <c r="L43" s="52"/>
      <c r="M43" s="52"/>
      <c r="N43" s="52">
        <f t="shared" si="0"/>
        <v>4620</v>
      </c>
      <c r="O43" s="44">
        <f t="shared" si="1"/>
        <v>3.9902479032197322E-3</v>
      </c>
    </row>
    <row r="44" spans="1:15" s="54" customFormat="1" ht="16.8" x14ac:dyDescent="0.4">
      <c r="A44" s="42" t="s">
        <v>192</v>
      </c>
      <c r="B44" s="52">
        <f>448-105</f>
        <v>343</v>
      </c>
      <c r="C44" s="52">
        <f>512-120</f>
        <v>392</v>
      </c>
      <c r="D44" s="52">
        <f>256-60</f>
        <v>196</v>
      </c>
      <c r="E44" s="52">
        <f>1152-270</f>
        <v>882</v>
      </c>
      <c r="F44" s="52">
        <f>576-135</f>
        <v>441</v>
      </c>
      <c r="G44" s="52"/>
      <c r="H44" s="52"/>
      <c r="I44" s="52"/>
      <c r="J44" s="52"/>
      <c r="K44" s="52">
        <f>1344-315</f>
        <v>1029</v>
      </c>
      <c r="L44" s="52">
        <f>640-150</f>
        <v>490</v>
      </c>
      <c r="M44" s="52">
        <f>448-105</f>
        <v>343</v>
      </c>
      <c r="N44" s="52">
        <f t="shared" si="0"/>
        <v>4116</v>
      </c>
      <c r="O44" s="44">
        <f t="shared" si="1"/>
        <v>3.5549481319593983E-3</v>
      </c>
    </row>
    <row r="45" spans="1:15" s="54" customFormat="1" ht="16.8" x14ac:dyDescent="0.4">
      <c r="A45" s="42" t="s">
        <v>169</v>
      </c>
      <c r="B45" s="52"/>
      <c r="C45" s="52"/>
      <c r="D45" s="52"/>
      <c r="E45" s="52"/>
      <c r="F45" s="52">
        <f>188-44</f>
        <v>144</v>
      </c>
      <c r="G45" s="52">
        <f>564-132</f>
        <v>432</v>
      </c>
      <c r="H45" s="52">
        <f>1034-242</f>
        <v>792</v>
      </c>
      <c r="I45" s="52">
        <f>376-88</f>
        <v>288</v>
      </c>
      <c r="J45" s="52">
        <f>94-22</f>
        <v>72</v>
      </c>
      <c r="K45" s="52"/>
      <c r="L45" s="52"/>
      <c r="M45" s="52"/>
      <c r="N45" s="52">
        <f t="shared" si="0"/>
        <v>1728</v>
      </c>
      <c r="O45" s="44">
        <f t="shared" si="1"/>
        <v>1.4924563586068611E-3</v>
      </c>
    </row>
    <row r="46" spans="1:15" s="54" customFormat="1" ht="16.8" x14ac:dyDescent="0.4">
      <c r="A46" s="42" t="s">
        <v>193</v>
      </c>
      <c r="B46" s="52">
        <f>154-36</f>
        <v>118</v>
      </c>
      <c r="C46" s="52">
        <f>77-18</f>
        <v>59</v>
      </c>
      <c r="D46" s="52">
        <f>154-36</f>
        <v>118</v>
      </c>
      <c r="E46" s="52">
        <f>154-36</f>
        <v>118</v>
      </c>
      <c r="F46" s="52">
        <f>231-54</f>
        <v>177</v>
      </c>
      <c r="G46" s="52"/>
      <c r="H46" s="52"/>
      <c r="I46" s="52"/>
      <c r="J46" s="52"/>
      <c r="K46" s="52">
        <f>154-36</f>
        <v>118</v>
      </c>
      <c r="L46" s="52">
        <f>385-90</f>
        <v>295</v>
      </c>
      <c r="M46" s="52">
        <f>462-108</f>
        <v>354</v>
      </c>
      <c r="N46" s="52">
        <f t="shared" si="0"/>
        <v>1357</v>
      </c>
      <c r="O46" s="44">
        <f t="shared" si="1"/>
        <v>1.1720273603180037E-3</v>
      </c>
    </row>
    <row r="47" spans="1:15" s="54" customFormat="1" ht="16.8" x14ac:dyDescent="0.4">
      <c r="A47" s="42" t="s">
        <v>170</v>
      </c>
      <c r="B47" s="52"/>
      <c r="C47" s="52"/>
      <c r="D47" s="52"/>
      <c r="E47" s="52"/>
      <c r="F47" s="52">
        <f>327-75</f>
        <v>252</v>
      </c>
      <c r="G47" s="52">
        <f>436-100</f>
        <v>336</v>
      </c>
      <c r="H47" s="52">
        <f>436-100</f>
        <v>336</v>
      </c>
      <c r="I47" s="52">
        <f>218-50</f>
        <v>168</v>
      </c>
      <c r="J47" s="52">
        <f>327-75</f>
        <v>252</v>
      </c>
      <c r="K47" s="52"/>
      <c r="L47" s="52"/>
      <c r="M47" s="52"/>
      <c r="N47" s="52">
        <f t="shared" si="0"/>
        <v>1344</v>
      </c>
      <c r="O47" s="44">
        <f t="shared" si="1"/>
        <v>1.1607993900275585E-3</v>
      </c>
    </row>
    <row r="48" spans="1:15" s="54" customFormat="1" ht="16.8" x14ac:dyDescent="0.4">
      <c r="A48" s="42" t="s">
        <v>194</v>
      </c>
      <c r="B48" s="52"/>
      <c r="C48" s="52">
        <f>90-21</f>
        <v>69</v>
      </c>
      <c r="D48" s="52"/>
      <c r="E48" s="52">
        <f>90-21</f>
        <v>69</v>
      </c>
      <c r="F48" s="52">
        <f>180-42</f>
        <v>138</v>
      </c>
      <c r="G48" s="52"/>
      <c r="H48" s="52"/>
      <c r="I48" s="52"/>
      <c r="J48" s="52"/>
      <c r="K48" s="52">
        <f>180-42</f>
        <v>138</v>
      </c>
      <c r="L48" s="52">
        <f>180-42</f>
        <v>138</v>
      </c>
      <c r="M48" s="52">
        <v>0</v>
      </c>
      <c r="N48" s="52">
        <f t="shared" si="0"/>
        <v>552</v>
      </c>
      <c r="O48" s="44">
        <f t="shared" si="1"/>
        <v>4.767568923327473E-4</v>
      </c>
    </row>
    <row r="49" spans="1:15" s="54" customFormat="1" ht="16.8" x14ac:dyDescent="0.4">
      <c r="A49" s="42" t="s">
        <v>171</v>
      </c>
      <c r="B49" s="52"/>
      <c r="C49" s="52"/>
      <c r="D49" s="52"/>
      <c r="E49" s="52"/>
      <c r="F49" s="52">
        <f>387-90</f>
        <v>297</v>
      </c>
      <c r="G49" s="52">
        <f>1161-270</f>
        <v>891</v>
      </c>
      <c r="H49" s="52">
        <f>387-90</f>
        <v>297</v>
      </c>
      <c r="I49" s="52">
        <f>1032-240</f>
        <v>792</v>
      </c>
      <c r="J49" s="52">
        <f>774-180</f>
        <v>594</v>
      </c>
      <c r="K49" s="52"/>
      <c r="L49" s="52"/>
      <c r="M49" s="52"/>
      <c r="N49" s="52">
        <f t="shared" si="0"/>
        <v>2871</v>
      </c>
      <c r="O49" s="44">
        <f t="shared" si="1"/>
        <v>2.4796540541436908E-3</v>
      </c>
    </row>
    <row r="50" spans="1:15" s="54" customFormat="1" ht="16.8" x14ac:dyDescent="0.4">
      <c r="A50" s="42" t="s">
        <v>195</v>
      </c>
      <c r="B50" s="52">
        <f>210-48</f>
        <v>162</v>
      </c>
      <c r="C50" s="52">
        <f>630-144</f>
        <v>486</v>
      </c>
      <c r="D50" s="52">
        <f>105-24</f>
        <v>81</v>
      </c>
      <c r="E50" s="52">
        <f>210-48</f>
        <v>162</v>
      </c>
      <c r="F50" s="52">
        <f>210-48</f>
        <v>162</v>
      </c>
      <c r="G50" s="52"/>
      <c r="H50" s="52"/>
      <c r="I50" s="52"/>
      <c r="J50" s="52"/>
      <c r="K50" s="52">
        <f>735-168</f>
        <v>567</v>
      </c>
      <c r="L50" s="52">
        <f>210-48</f>
        <v>162</v>
      </c>
      <c r="M50" s="52">
        <f>105-24</f>
        <v>81</v>
      </c>
      <c r="N50" s="52">
        <f t="shared" si="0"/>
        <v>1863</v>
      </c>
      <c r="O50" s="44">
        <f t="shared" si="1"/>
        <v>1.6090545116230221E-3</v>
      </c>
    </row>
    <row r="51" spans="1:15" s="54" customFormat="1" ht="16.8" x14ac:dyDescent="0.4">
      <c r="A51" s="42" t="s">
        <v>198</v>
      </c>
      <c r="B51" s="52">
        <v>11.4</v>
      </c>
      <c r="C51" s="52">
        <v>10.8</v>
      </c>
      <c r="D51" s="52">
        <v>12</v>
      </c>
      <c r="E51" s="52">
        <v>10.199999999999999</v>
      </c>
      <c r="F51" s="52">
        <v>12.6</v>
      </c>
      <c r="G51" s="52">
        <v>9</v>
      </c>
      <c r="H51" s="52"/>
      <c r="I51" s="52"/>
      <c r="J51" s="52">
        <v>10.8</v>
      </c>
      <c r="K51" s="52">
        <v>13.8</v>
      </c>
      <c r="L51" s="52">
        <v>10.199999999999999</v>
      </c>
      <c r="M51" s="52">
        <v>9</v>
      </c>
      <c r="N51" s="52">
        <f t="shared" si="0"/>
        <v>109.8</v>
      </c>
      <c r="O51" s="44">
        <f t="shared" si="1"/>
        <v>9.483316445314429E-5</v>
      </c>
    </row>
    <row r="52" spans="1:15" ht="16.8" x14ac:dyDescent="0.4">
      <c r="A52" s="5" t="s">
        <v>25</v>
      </c>
      <c r="B52" s="39">
        <f t="shared" ref="B52:M52" si="2">SUM(B4:B51)</f>
        <v>75235.899999999994</v>
      </c>
      <c r="C52" s="39">
        <f t="shared" si="2"/>
        <v>52840.800000000003</v>
      </c>
      <c r="D52" s="39">
        <f t="shared" si="2"/>
        <v>51033</v>
      </c>
      <c r="E52" s="39">
        <f t="shared" si="2"/>
        <v>92044.7</v>
      </c>
      <c r="F52" s="39">
        <f t="shared" si="2"/>
        <v>117587.6</v>
      </c>
      <c r="G52" s="39">
        <f t="shared" si="2"/>
        <v>124270.5</v>
      </c>
      <c r="H52" s="39">
        <f t="shared" si="2"/>
        <v>143885</v>
      </c>
      <c r="I52" s="39">
        <f t="shared" si="2"/>
        <v>141782</v>
      </c>
      <c r="J52" s="39">
        <f t="shared" si="2"/>
        <v>105157.8</v>
      </c>
      <c r="K52" s="39">
        <f t="shared" si="2"/>
        <v>94825.3</v>
      </c>
      <c r="L52" s="39">
        <f t="shared" si="2"/>
        <v>81382.7</v>
      </c>
      <c r="M52" s="39">
        <f t="shared" si="2"/>
        <v>77777.5</v>
      </c>
      <c r="N52" s="9">
        <f t="shared" si="0"/>
        <v>1157822.8</v>
      </c>
      <c r="O52" s="10">
        <f t="shared" si="1"/>
        <v>1</v>
      </c>
    </row>
    <row r="53" spans="1:15" ht="16.8" x14ac:dyDescent="0.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6.8" x14ac:dyDescent="0.4">
      <c r="A56" s="4" t="s">
        <v>148</v>
      </c>
      <c r="B56" s="39">
        <f t="shared" ref="B56:D56" si="3">+B4+B7+B8+B9+B15+B16+B19+B20+B22+B23+B24+B27+B28+B33+B34+B35+B36+B37+B38+B39+B40+B41+B42+B43+B44+B45+B46+B47+B48+B49+B50+B5+B6</f>
        <v>60501</v>
      </c>
      <c r="C56" s="39">
        <f t="shared" si="3"/>
        <v>37585</v>
      </c>
      <c r="D56" s="39">
        <f t="shared" si="3"/>
        <v>29452</v>
      </c>
      <c r="E56" s="39">
        <f>+E4+E7+E8+E9+E15+E16+E19+E20+E22+E23+E24+E27+E28+E33+E34+E35+E36+E37+E38+E39+E40+E41+E42+E43+E44+E45+E46+E47+E48+E49+E50+E5+E6</f>
        <v>72983</v>
      </c>
      <c r="F56" s="39">
        <f t="shared" ref="F56:N56" si="4">+F4+F7+F8+F9+F15+F16+F19+F20+F22+F23+F24+F27+F28+F33+F34+F35+F36+F37+F38+F39+F40+F41+F42+F43+F44+F45+F46+F47+F48+F49+F50+F5+F6</f>
        <v>90585</v>
      </c>
      <c r="G56" s="39">
        <f t="shared" si="4"/>
        <v>92603</v>
      </c>
      <c r="H56" s="39">
        <f t="shared" si="4"/>
        <v>103585</v>
      </c>
      <c r="I56" s="39">
        <f>+I4+I7+I8+I9+I15+I16+I19+I20+I22+I23+I24+I27+I28+I33+I34+I35+I36+I37+I38+I39+I40+I41+I42+I43+I44+I45+I46+I47+I48+I49+I50+I5+I6+I18</f>
        <v>101458</v>
      </c>
      <c r="J56" s="39">
        <f t="shared" ref="J56:M56" si="5">+J4+J7+J8+J9+J15+J16+J19+J20+J22+J23+J24+J27+J28+J33+J34+J35+J36+J37+J38+J39+J40+J41+J42+J43+J44+J45+J46+J47+J48+J49+J50+J5+J6+J18</f>
        <v>78876</v>
      </c>
      <c r="K56" s="39">
        <f t="shared" si="5"/>
        <v>74977</v>
      </c>
      <c r="L56" s="39">
        <f t="shared" si="5"/>
        <v>63815</v>
      </c>
      <c r="M56" s="39">
        <f t="shared" si="5"/>
        <v>61418</v>
      </c>
      <c r="N56" s="39">
        <f t="shared" si="4"/>
        <v>867838</v>
      </c>
      <c r="O56" s="4"/>
    </row>
    <row r="57" spans="1:15" s="56" customFormat="1" ht="16.8" x14ac:dyDescent="0.4">
      <c r="A57" s="55" t="s">
        <v>149</v>
      </c>
      <c r="B57" s="50">
        <f>+B10+B11+B12+B13+B14+B17+B21+B25+B26+B29+B30+B31+B51</f>
        <v>14734.9</v>
      </c>
      <c r="C57" s="50">
        <f t="shared" ref="C57:N57" si="6">+C10+C11+C12+C13+C14+C17+C21+C25+C26+C29+C30+C31+C51</f>
        <v>15255.8</v>
      </c>
      <c r="D57" s="50">
        <f t="shared" si="6"/>
        <v>21391</v>
      </c>
      <c r="E57" s="50">
        <f t="shared" si="6"/>
        <v>19061.7</v>
      </c>
      <c r="F57" s="50">
        <f t="shared" si="6"/>
        <v>27002.6</v>
      </c>
      <c r="G57" s="50">
        <f t="shared" si="6"/>
        <v>31667.5</v>
      </c>
      <c r="H57" s="50">
        <f t="shared" si="6"/>
        <v>40300</v>
      </c>
      <c r="I57" s="50">
        <f t="shared" si="6"/>
        <v>40324</v>
      </c>
      <c r="J57" s="50">
        <f t="shared" si="6"/>
        <v>26281.8</v>
      </c>
      <c r="K57" s="50">
        <f t="shared" si="6"/>
        <v>19848.3</v>
      </c>
      <c r="L57" s="50">
        <f t="shared" si="6"/>
        <v>17567.7</v>
      </c>
      <c r="M57" s="50">
        <f t="shared" si="6"/>
        <v>16359.5</v>
      </c>
      <c r="N57" s="50">
        <f t="shared" si="6"/>
        <v>289794.8</v>
      </c>
      <c r="O57" s="50"/>
    </row>
    <row r="58" spans="1:15" s="46" customFormat="1" ht="17.399999999999999" thickBot="1" x14ac:dyDescent="0.45">
      <c r="A58" s="48" t="s">
        <v>143</v>
      </c>
      <c r="B58" s="47">
        <f t="shared" ref="B58:N58" si="7">SUM(B56:B57)</f>
        <v>75235.899999999994</v>
      </c>
      <c r="C58" s="47">
        <f t="shared" si="7"/>
        <v>52840.800000000003</v>
      </c>
      <c r="D58" s="47">
        <f t="shared" si="7"/>
        <v>50843</v>
      </c>
      <c r="E58" s="47">
        <f t="shared" si="7"/>
        <v>92044.7</v>
      </c>
      <c r="F58" s="47">
        <f t="shared" si="7"/>
        <v>117587.6</v>
      </c>
      <c r="G58" s="47">
        <f t="shared" si="7"/>
        <v>124270.5</v>
      </c>
      <c r="H58" s="47">
        <f t="shared" si="7"/>
        <v>143885</v>
      </c>
      <c r="I58" s="47">
        <f t="shared" si="7"/>
        <v>141782</v>
      </c>
      <c r="J58" s="47">
        <f t="shared" si="7"/>
        <v>105157.8</v>
      </c>
      <c r="K58" s="47">
        <f t="shared" si="7"/>
        <v>94825.3</v>
      </c>
      <c r="L58" s="47">
        <f t="shared" si="7"/>
        <v>81382.7</v>
      </c>
      <c r="M58" s="47">
        <f t="shared" si="7"/>
        <v>77777.5</v>
      </c>
      <c r="N58" s="47">
        <f t="shared" si="7"/>
        <v>1157632.8</v>
      </c>
      <c r="O58" s="48"/>
    </row>
    <row r="59" spans="1:15" ht="17.399999999999999" thickTop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/>
      <c r="B60" s="39">
        <f t="shared" ref="B60:M60" si="8">+B58-B52</f>
        <v>0</v>
      </c>
      <c r="C60" s="39">
        <f t="shared" si="8"/>
        <v>0</v>
      </c>
      <c r="D60" s="39">
        <f t="shared" si="8"/>
        <v>-190</v>
      </c>
      <c r="E60" s="39">
        <f t="shared" si="8"/>
        <v>0</v>
      </c>
      <c r="F60" s="39">
        <f t="shared" si="8"/>
        <v>0</v>
      </c>
      <c r="G60" s="39">
        <f t="shared" si="8"/>
        <v>0</v>
      </c>
      <c r="H60" s="39">
        <f t="shared" si="8"/>
        <v>0</v>
      </c>
      <c r="I60" s="39">
        <f t="shared" si="8"/>
        <v>0</v>
      </c>
      <c r="J60" s="39">
        <f t="shared" si="8"/>
        <v>0</v>
      </c>
      <c r="K60" s="39">
        <f t="shared" si="8"/>
        <v>0</v>
      </c>
      <c r="L60" s="39">
        <f t="shared" si="8"/>
        <v>0</v>
      </c>
      <c r="M60" s="39">
        <f t="shared" si="8"/>
        <v>0</v>
      </c>
      <c r="N60" s="4"/>
      <c r="O60" s="4"/>
    </row>
    <row r="65" spans="1:14" ht="16.2" x14ac:dyDescent="0.25">
      <c r="A65" s="60" t="s">
        <v>204</v>
      </c>
      <c r="B65" s="61">
        <f t="shared" ref="B65:N65" si="9">+B4+B7+B8+B9+B5+B6</f>
        <v>27454</v>
      </c>
      <c r="C65" s="61">
        <f t="shared" si="9"/>
        <v>14014</v>
      </c>
      <c r="D65" s="61">
        <f t="shared" si="9"/>
        <v>15398</v>
      </c>
      <c r="E65" s="61">
        <f t="shared" si="9"/>
        <v>30530</v>
      </c>
      <c r="F65" s="61">
        <f t="shared" si="9"/>
        <v>36570</v>
      </c>
      <c r="G65" s="61">
        <f t="shared" si="9"/>
        <v>32298</v>
      </c>
      <c r="H65" s="61">
        <f t="shared" si="9"/>
        <v>31824</v>
      </c>
      <c r="I65" s="61">
        <f t="shared" si="9"/>
        <v>30178</v>
      </c>
      <c r="J65" s="61">
        <f t="shared" si="9"/>
        <v>24890</v>
      </c>
      <c r="K65" s="61">
        <f t="shared" si="9"/>
        <v>32266</v>
      </c>
      <c r="L65" s="61">
        <f t="shared" si="9"/>
        <v>25410</v>
      </c>
      <c r="M65" s="61">
        <f t="shared" si="9"/>
        <v>27468</v>
      </c>
      <c r="N65" s="61">
        <f t="shared" si="9"/>
        <v>328300</v>
      </c>
    </row>
    <row r="66" spans="1:14" ht="16.2" x14ac:dyDescent="0.25">
      <c r="A66" s="60" t="s">
        <v>205</v>
      </c>
      <c r="B66" s="61">
        <f t="shared" ref="B66:N66" si="10">+B15+B16+B23+B24</f>
        <v>24798</v>
      </c>
      <c r="C66" s="61">
        <f t="shared" si="10"/>
        <v>17642</v>
      </c>
      <c r="D66" s="61">
        <f t="shared" si="10"/>
        <v>10624</v>
      </c>
      <c r="E66" s="61">
        <f t="shared" si="10"/>
        <v>31542</v>
      </c>
      <c r="F66" s="61">
        <f t="shared" si="10"/>
        <v>38980</v>
      </c>
      <c r="G66" s="61">
        <f t="shared" si="10"/>
        <v>42172</v>
      </c>
      <c r="H66" s="61">
        <f t="shared" si="10"/>
        <v>52406</v>
      </c>
      <c r="I66" s="61">
        <f t="shared" si="10"/>
        <v>52894</v>
      </c>
      <c r="J66" s="61">
        <f t="shared" si="10"/>
        <v>37398</v>
      </c>
      <c r="K66" s="61">
        <f t="shared" si="10"/>
        <v>27534</v>
      </c>
      <c r="L66" s="61">
        <f t="shared" si="10"/>
        <v>28584</v>
      </c>
      <c r="M66" s="61">
        <f t="shared" si="10"/>
        <v>26588</v>
      </c>
      <c r="N66" s="61">
        <f t="shared" si="10"/>
        <v>391162</v>
      </c>
    </row>
    <row r="67" spans="1:14" ht="16.2" x14ac:dyDescent="0.25">
      <c r="A67" s="60" t="s">
        <v>206</v>
      </c>
      <c r="B67" s="61">
        <f t="shared" ref="B67:N67" si="11">+B19+B20+B27+B28</f>
        <v>70</v>
      </c>
      <c r="C67" s="61">
        <f t="shared" si="11"/>
        <v>24</v>
      </c>
      <c r="D67" s="61">
        <f t="shared" si="11"/>
        <v>47</v>
      </c>
      <c r="E67" s="61">
        <f t="shared" si="11"/>
        <v>83</v>
      </c>
      <c r="F67" s="61">
        <f t="shared" si="11"/>
        <v>237</v>
      </c>
      <c r="G67" s="61">
        <f t="shared" si="11"/>
        <v>195</v>
      </c>
      <c r="H67" s="61">
        <f t="shared" si="11"/>
        <v>369</v>
      </c>
      <c r="I67" s="61">
        <f t="shared" si="11"/>
        <v>354</v>
      </c>
      <c r="J67" s="61">
        <f t="shared" si="11"/>
        <v>157</v>
      </c>
      <c r="K67" s="61">
        <f t="shared" si="11"/>
        <v>23</v>
      </c>
      <c r="L67" s="61">
        <f t="shared" si="11"/>
        <v>0</v>
      </c>
      <c r="M67" s="61">
        <f t="shared" si="11"/>
        <v>12</v>
      </c>
      <c r="N67" s="61">
        <f t="shared" si="11"/>
        <v>1571</v>
      </c>
    </row>
    <row r="68" spans="1:14" ht="16.2" x14ac:dyDescent="0.25">
      <c r="A68" s="60" t="s">
        <v>207</v>
      </c>
      <c r="B68" s="61">
        <f t="shared" ref="B68:H68" si="12">+B33+B34+B35+B36+B37+B38+B39+B40+B41+B42+B43+B44+B45+B46+B47+B48+B49+B50+B18+B22</f>
        <v>8179</v>
      </c>
      <c r="C68" s="61">
        <f t="shared" si="12"/>
        <v>5905</v>
      </c>
      <c r="D68" s="61">
        <f t="shared" si="12"/>
        <v>3573</v>
      </c>
      <c r="E68" s="61">
        <f t="shared" si="12"/>
        <v>10828</v>
      </c>
      <c r="F68" s="61">
        <f t="shared" si="12"/>
        <v>14798</v>
      </c>
      <c r="G68" s="61">
        <f t="shared" si="12"/>
        <v>17938</v>
      </c>
      <c r="H68" s="61">
        <f t="shared" si="12"/>
        <v>18986</v>
      </c>
      <c r="I68" s="61">
        <f>+I33+I34+I35+I36+I37+I38+I39+I40+I41+I42+I43+I44+I45+I46+I47+I48+I49+I50+I18+I22</f>
        <v>18032</v>
      </c>
      <c r="J68" s="61">
        <f t="shared" ref="J68:M68" si="13">+J33+J34+J35+J36+J37+J38+J39+J40+J41+J42+J43+J44+J45+J46+J47+J48+J49+J50+J18+J22</f>
        <v>16431</v>
      </c>
      <c r="K68" s="61">
        <f t="shared" si="13"/>
        <v>15154</v>
      </c>
      <c r="L68" s="61">
        <f t="shared" si="13"/>
        <v>9821</v>
      </c>
      <c r="M68" s="61">
        <f t="shared" si="13"/>
        <v>7350</v>
      </c>
      <c r="N68" s="61">
        <f t="shared" ref="N68" si="14">+N33+N34+N35+N36+N37+N38+N39+N40+N41+N42+N43+N44+N45+N46+N47+N48+N49+N50</f>
        <v>146589</v>
      </c>
    </row>
    <row r="69" spans="1:14" ht="16.2" x14ac:dyDescent="0.25">
      <c r="A69" s="60" t="s">
        <v>208</v>
      </c>
      <c r="B69" s="61">
        <f t="shared" ref="B69:N69" si="15">+B12+B29</f>
        <v>7731</v>
      </c>
      <c r="C69" s="61">
        <f t="shared" si="15"/>
        <v>9418</v>
      </c>
      <c r="D69" s="61">
        <f t="shared" si="15"/>
        <v>10942</v>
      </c>
      <c r="E69" s="61">
        <f t="shared" si="15"/>
        <v>8759</v>
      </c>
      <c r="F69" s="61">
        <f t="shared" si="15"/>
        <v>12176</v>
      </c>
      <c r="G69" s="61">
        <f t="shared" si="15"/>
        <v>12290</v>
      </c>
      <c r="H69" s="61">
        <f t="shared" si="15"/>
        <v>12653</v>
      </c>
      <c r="I69" s="61">
        <f t="shared" si="15"/>
        <v>11234</v>
      </c>
      <c r="J69" s="61">
        <f t="shared" si="15"/>
        <v>10579</v>
      </c>
      <c r="K69" s="61">
        <f t="shared" si="15"/>
        <v>11570</v>
      </c>
      <c r="L69" s="61">
        <f t="shared" si="15"/>
        <v>8295</v>
      </c>
      <c r="M69" s="61">
        <f t="shared" si="15"/>
        <v>7916</v>
      </c>
      <c r="N69" s="61">
        <f t="shared" si="15"/>
        <v>123563</v>
      </c>
    </row>
    <row r="70" spans="1:14" ht="16.2" x14ac:dyDescent="0.25">
      <c r="A70" s="60" t="s">
        <v>209</v>
      </c>
      <c r="B70" s="61">
        <f t="shared" ref="B70:N70" si="16">+B13+B14+B25+B26</f>
        <v>6888</v>
      </c>
      <c r="C70" s="61">
        <f t="shared" si="16"/>
        <v>5728</v>
      </c>
      <c r="D70" s="61">
        <f t="shared" si="16"/>
        <v>10327</v>
      </c>
      <c r="E70" s="61">
        <f t="shared" si="16"/>
        <v>9959</v>
      </c>
      <c r="F70" s="61">
        <f t="shared" si="16"/>
        <v>14078.5</v>
      </c>
      <c r="G70" s="61">
        <f t="shared" si="16"/>
        <v>18666</v>
      </c>
      <c r="H70" s="61">
        <f t="shared" si="16"/>
        <v>27647</v>
      </c>
      <c r="I70" s="61">
        <f t="shared" si="16"/>
        <v>28470</v>
      </c>
      <c r="J70" s="61">
        <f t="shared" si="16"/>
        <v>15593</v>
      </c>
      <c r="K70" s="61">
        <f t="shared" si="16"/>
        <v>8138</v>
      </c>
      <c r="L70" s="61">
        <f t="shared" si="16"/>
        <v>8549</v>
      </c>
      <c r="M70" s="61">
        <f t="shared" si="16"/>
        <v>7852</v>
      </c>
      <c r="N70" s="61">
        <f t="shared" si="16"/>
        <v>161895.5</v>
      </c>
    </row>
    <row r="71" spans="1:14" ht="16.2" x14ac:dyDescent="0.25">
      <c r="A71" s="60" t="s">
        <v>210</v>
      </c>
      <c r="B71" s="61">
        <f t="shared" ref="B71:N71" si="17">+B10+B11+B30+B31</f>
        <v>0</v>
      </c>
      <c r="C71" s="61">
        <f t="shared" si="17"/>
        <v>0</v>
      </c>
      <c r="D71" s="61">
        <f t="shared" si="17"/>
        <v>0</v>
      </c>
      <c r="E71" s="61">
        <f t="shared" si="17"/>
        <v>0</v>
      </c>
      <c r="F71" s="61">
        <f t="shared" si="17"/>
        <v>0</v>
      </c>
      <c r="G71" s="61">
        <f t="shared" si="17"/>
        <v>0</v>
      </c>
      <c r="H71" s="61">
        <f t="shared" si="17"/>
        <v>0</v>
      </c>
      <c r="I71" s="61">
        <f t="shared" si="17"/>
        <v>0</v>
      </c>
      <c r="J71" s="61">
        <f t="shared" si="17"/>
        <v>0</v>
      </c>
      <c r="K71" s="61">
        <f t="shared" si="17"/>
        <v>0</v>
      </c>
      <c r="L71" s="61">
        <f t="shared" si="17"/>
        <v>0</v>
      </c>
      <c r="M71" s="61">
        <f t="shared" si="17"/>
        <v>0</v>
      </c>
      <c r="N71" s="61">
        <f t="shared" si="17"/>
        <v>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1"/>
  <sheetViews>
    <sheetView workbookViewId="0">
      <pane xSplit="1" ySplit="3" topLeftCell="J4" activePane="bottomRight" state="frozen"/>
      <selection pane="topRight" activeCell="B1" sqref="B1"/>
      <selection pane="bottomLeft" activeCell="A4" sqref="A4"/>
      <selection pane="bottomRight" activeCell="M7" sqref="M7"/>
    </sheetView>
  </sheetViews>
  <sheetFormatPr defaultColWidth="8.33203125" defaultRowHeight="15" x14ac:dyDescent="0.25"/>
  <cols>
    <col min="1" max="1" width="29.08203125" bestFit="1" customWidth="1"/>
    <col min="2" max="7" width="9.33203125" bestFit="1" customWidth="1"/>
    <col min="8" max="8" width="9.58203125" customWidth="1"/>
    <col min="9" max="10" width="9.4140625" bestFit="1" customWidth="1"/>
    <col min="11" max="11" width="9.4140625" customWidth="1"/>
    <col min="12" max="12" width="9.25" customWidth="1"/>
    <col min="13" max="13" width="9.08203125" bestFit="1" customWidth="1"/>
    <col min="14" max="14" width="10.75" bestFit="1" customWidth="1"/>
  </cols>
  <sheetData>
    <row r="1" spans="1:15" ht="18.600000000000001" x14ac:dyDescent="0.45">
      <c r="A1" s="3" t="s">
        <v>229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223</v>
      </c>
      <c r="B4" s="43">
        <v>600</v>
      </c>
      <c r="C4" s="43">
        <v>400</v>
      </c>
      <c r="D4" s="43">
        <v>300</v>
      </c>
      <c r="E4" s="43">
        <v>200</v>
      </c>
      <c r="F4" s="43">
        <v>840</v>
      </c>
      <c r="G4" s="43">
        <v>600</v>
      </c>
      <c r="H4" s="43">
        <v>480</v>
      </c>
      <c r="I4" s="43">
        <v>240</v>
      </c>
      <c r="J4" s="43"/>
      <c r="K4" s="43">
        <f>480-80</f>
        <v>400</v>
      </c>
      <c r="L4" s="43">
        <f>360-60</f>
        <v>300</v>
      </c>
      <c r="M4" s="43">
        <f>480-80</f>
        <v>400</v>
      </c>
      <c r="N4" s="43">
        <f t="shared" ref="N4:N52" si="0">SUM(B4:M4)</f>
        <v>4760</v>
      </c>
      <c r="O4" s="44">
        <f>N4/$N$52</f>
        <v>3.8834048486267553E-3</v>
      </c>
    </row>
    <row r="5" spans="1:15" s="54" customFormat="1" ht="16.8" x14ac:dyDescent="0.4">
      <c r="A5" s="42" t="s">
        <v>222</v>
      </c>
      <c r="B5" s="43"/>
      <c r="C5" s="43">
        <v>80</v>
      </c>
      <c r="D5" s="43"/>
      <c r="E5" s="43"/>
      <c r="F5" s="43">
        <v>200</v>
      </c>
      <c r="G5" s="43">
        <v>500</v>
      </c>
      <c r="H5" s="43">
        <v>300</v>
      </c>
      <c r="I5" s="43">
        <v>100</v>
      </c>
      <c r="J5" s="43"/>
      <c r="K5" s="43">
        <f>100-20</f>
        <v>80</v>
      </c>
      <c r="L5" s="43">
        <f>100-20</f>
        <v>80</v>
      </c>
      <c r="M5" s="43">
        <f>200-40</f>
        <v>160</v>
      </c>
      <c r="N5" s="43">
        <f t="shared" si="0"/>
        <v>1500</v>
      </c>
      <c r="O5" s="44">
        <f t="shared" ref="O5:O52" si="1">N5/$N$52</f>
        <v>1.22376203213028E-3</v>
      </c>
    </row>
    <row r="6" spans="1:15" s="54" customFormat="1" ht="16.8" x14ac:dyDescent="0.4">
      <c r="A6" s="42" t="s">
        <v>214</v>
      </c>
      <c r="B6" s="43">
        <v>15980</v>
      </c>
      <c r="C6" s="43">
        <v>14960</v>
      </c>
      <c r="D6" s="43">
        <v>15470</v>
      </c>
      <c r="E6" s="43">
        <v>14790</v>
      </c>
      <c r="F6" s="43">
        <v>17170</v>
      </c>
      <c r="G6" s="43">
        <v>17170</v>
      </c>
      <c r="H6" s="43">
        <v>23290</v>
      </c>
      <c r="I6" s="43">
        <v>7480</v>
      </c>
      <c r="J6" s="43">
        <f>11760-1560</f>
        <v>10200</v>
      </c>
      <c r="K6" s="43">
        <f>14700-1950</f>
        <v>12750</v>
      </c>
      <c r="L6" s="43">
        <f>13916-1846</f>
        <v>12070</v>
      </c>
      <c r="M6" s="43">
        <f>12936-1716</f>
        <v>11220</v>
      </c>
      <c r="N6" s="43">
        <f t="shared" si="0"/>
        <v>172550</v>
      </c>
      <c r="O6" s="44">
        <f t="shared" si="1"/>
        <v>0.14077342576271989</v>
      </c>
    </row>
    <row r="7" spans="1:15" s="54" customFormat="1" ht="16.8" x14ac:dyDescent="0.4">
      <c r="A7" s="42" t="s">
        <v>110</v>
      </c>
      <c r="B7" s="51"/>
      <c r="C7" s="51"/>
      <c r="D7" s="51"/>
      <c r="E7" s="51"/>
      <c r="F7" s="51">
        <v>102</v>
      </c>
      <c r="G7" s="51"/>
      <c r="H7" s="51">
        <v>612</v>
      </c>
      <c r="I7" s="51"/>
      <c r="J7" s="51"/>
      <c r="K7" s="51"/>
      <c r="L7" s="51"/>
      <c r="M7" s="51"/>
      <c r="N7" s="43">
        <f t="shared" si="0"/>
        <v>714</v>
      </c>
      <c r="O7" s="44">
        <f t="shared" si="1"/>
        <v>5.8251072729401327E-4</v>
      </c>
    </row>
    <row r="8" spans="1:15" s="54" customFormat="1" ht="16.8" x14ac:dyDescent="0.4">
      <c r="A8" s="42" t="s">
        <v>215</v>
      </c>
      <c r="B8" s="51">
        <v>14008</v>
      </c>
      <c r="C8" s="51">
        <v>11016</v>
      </c>
      <c r="D8" s="51">
        <v>15912</v>
      </c>
      <c r="E8" s="51">
        <v>16592</v>
      </c>
      <c r="F8" s="51">
        <v>17780</v>
      </c>
      <c r="G8" s="51">
        <v>15368</v>
      </c>
      <c r="H8" s="51">
        <v>26112</v>
      </c>
      <c r="I8" s="51">
        <v>9520</v>
      </c>
      <c r="J8" s="51">
        <f>14508-1860</f>
        <v>12648</v>
      </c>
      <c r="K8" s="51">
        <f>12948-1660</f>
        <v>11288</v>
      </c>
      <c r="L8" s="51">
        <f>15288-1960</f>
        <v>13328</v>
      </c>
      <c r="M8" s="51">
        <f>16848-2160</f>
        <v>14688</v>
      </c>
      <c r="N8" s="43">
        <f t="shared" si="0"/>
        <v>178260</v>
      </c>
      <c r="O8" s="44">
        <f t="shared" si="1"/>
        <v>0.14543187989836248</v>
      </c>
    </row>
    <row r="9" spans="1:15" s="54" customFormat="1" ht="16.8" x14ac:dyDescent="0.4">
      <c r="A9" s="42" t="s">
        <v>216</v>
      </c>
      <c r="B9" s="51"/>
      <c r="C9" s="51"/>
      <c r="D9" s="51"/>
      <c r="E9" s="51"/>
      <c r="F9" s="51"/>
      <c r="G9" s="51">
        <v>85</v>
      </c>
      <c r="H9" s="51"/>
      <c r="I9" s="51">
        <v>85</v>
      </c>
      <c r="J9" s="51"/>
      <c r="K9" s="51"/>
      <c r="L9" s="51"/>
      <c r="M9" s="51"/>
      <c r="N9" s="43">
        <f t="shared" si="0"/>
        <v>170</v>
      </c>
      <c r="O9" s="44">
        <f t="shared" si="1"/>
        <v>1.3869303030809841E-4</v>
      </c>
    </row>
    <row r="10" spans="1:15" s="54" customFormat="1" ht="16.8" x14ac:dyDescent="0.4">
      <c r="A10" s="42" t="s">
        <v>156</v>
      </c>
      <c r="B10" s="52"/>
      <c r="C10" s="52"/>
      <c r="D10" s="52"/>
      <c r="E10" s="52"/>
      <c r="F10" s="52">
        <v>590</v>
      </c>
      <c r="G10" s="52">
        <v>870</v>
      </c>
      <c r="H10" s="52">
        <v>1380</v>
      </c>
      <c r="I10" s="52"/>
      <c r="J10" s="52"/>
      <c r="K10" s="52"/>
      <c r="L10" s="52"/>
      <c r="M10" s="52"/>
      <c r="N10" s="43">
        <f t="shared" si="0"/>
        <v>2840</v>
      </c>
      <c r="O10" s="44">
        <f t="shared" si="1"/>
        <v>2.3169894474999969E-3</v>
      </c>
    </row>
    <row r="11" spans="1:15" s="54" customFormat="1" ht="16.8" x14ac:dyDescent="0.4">
      <c r="A11" s="42" t="s">
        <v>184</v>
      </c>
      <c r="B11" s="52">
        <v>164</v>
      </c>
      <c r="C11" s="52">
        <v>76</v>
      </c>
      <c r="D11" s="52">
        <v>256</v>
      </c>
      <c r="E11" s="52">
        <v>256</v>
      </c>
      <c r="F11" s="52">
        <v>484</v>
      </c>
      <c r="G11" s="52"/>
      <c r="H11" s="52"/>
      <c r="I11" s="52"/>
      <c r="J11" s="52"/>
      <c r="K11" s="52"/>
      <c r="L11" s="52"/>
      <c r="M11" s="52"/>
      <c r="N11" s="52">
        <f t="shared" si="0"/>
        <v>1236</v>
      </c>
      <c r="O11" s="44">
        <f t="shared" si="1"/>
        <v>1.0083799144753507E-3</v>
      </c>
    </row>
    <row r="12" spans="1:15" s="54" customFormat="1" ht="16.8" x14ac:dyDescent="0.4">
      <c r="A12" s="42" t="s">
        <v>111</v>
      </c>
      <c r="B12" s="52">
        <v>5159</v>
      </c>
      <c r="C12" s="52">
        <v>4087</v>
      </c>
      <c r="D12" s="52">
        <v>4891</v>
      </c>
      <c r="E12" s="52">
        <v>6298</v>
      </c>
      <c r="F12" s="52">
        <v>7973</v>
      </c>
      <c r="G12" s="52">
        <v>6566</v>
      </c>
      <c r="H12" s="52">
        <v>16549</v>
      </c>
      <c r="I12" s="52">
        <v>4489</v>
      </c>
      <c r="J12" s="52">
        <f>5313-690</f>
        <v>4623</v>
      </c>
      <c r="K12" s="52">
        <f>6160-800</f>
        <v>5360</v>
      </c>
      <c r="L12" s="52">
        <f>5544-720</f>
        <v>4824</v>
      </c>
      <c r="M12" s="52">
        <f>5544-720</f>
        <v>4824</v>
      </c>
      <c r="N12" s="52">
        <f t="shared" si="0"/>
        <v>75643</v>
      </c>
      <c r="O12" s="44">
        <f t="shared" si="1"/>
        <v>6.1712687597620518E-2</v>
      </c>
    </row>
    <row r="13" spans="1:15" s="54" customFormat="1" ht="16.8" x14ac:dyDescent="0.4">
      <c r="A13" s="42" t="s">
        <v>157</v>
      </c>
      <c r="B13" s="52"/>
      <c r="C13" s="52"/>
      <c r="D13" s="52"/>
      <c r="E13" s="52"/>
      <c r="F13" s="52">
        <v>5100</v>
      </c>
      <c r="G13" s="52">
        <v>13416</v>
      </c>
      <c r="H13" s="52">
        <v>18520</v>
      </c>
      <c r="I13" s="52">
        <v>18556</v>
      </c>
      <c r="J13" s="52">
        <f>15270-3054</f>
        <v>12216</v>
      </c>
      <c r="K13" s="52"/>
      <c r="L13" s="52"/>
      <c r="M13" s="52"/>
      <c r="N13" s="52">
        <f t="shared" si="0"/>
        <v>67808</v>
      </c>
      <c r="O13" s="44">
        <f t="shared" si="1"/>
        <v>5.5320570583126685E-2</v>
      </c>
    </row>
    <row r="14" spans="1:15" s="54" customFormat="1" ht="16.8" x14ac:dyDescent="0.4">
      <c r="A14" s="42" t="s">
        <v>180</v>
      </c>
      <c r="B14" s="52">
        <v>5037</v>
      </c>
      <c r="C14" s="52">
        <v>4560</v>
      </c>
      <c r="D14" s="52">
        <v>6444</v>
      </c>
      <c r="E14" s="52">
        <v>6666</v>
      </c>
      <c r="F14" s="52">
        <v>5340</v>
      </c>
      <c r="G14" s="52"/>
      <c r="H14" s="52"/>
      <c r="I14" s="52"/>
      <c r="J14" s="52"/>
      <c r="K14" s="52">
        <f>9540-2385</f>
        <v>7155</v>
      </c>
      <c r="L14" s="52">
        <f>8028-2007</f>
        <v>6021</v>
      </c>
      <c r="M14" s="52">
        <f>7980-1995</f>
        <v>5985</v>
      </c>
      <c r="N14" s="52">
        <f t="shared" si="0"/>
        <v>47208</v>
      </c>
      <c r="O14" s="44">
        <f t="shared" si="1"/>
        <v>3.8514238675204177E-2</v>
      </c>
    </row>
    <row r="15" spans="1:15" s="54" customFormat="1" ht="16.8" x14ac:dyDescent="0.4">
      <c r="A15" s="42" t="s">
        <v>113</v>
      </c>
      <c r="B15" s="52"/>
      <c r="C15" s="52"/>
      <c r="D15" s="52"/>
      <c r="E15" s="52"/>
      <c r="F15" s="52">
        <v>13536</v>
      </c>
      <c r="G15" s="52">
        <v>37512</v>
      </c>
      <c r="H15" s="52">
        <v>46272</v>
      </c>
      <c r="I15" s="52">
        <v>40608</v>
      </c>
      <c r="J15" s="52">
        <f>37815-7563</f>
        <v>30252</v>
      </c>
      <c r="K15" s="52"/>
      <c r="L15" s="52"/>
      <c r="M15" s="52"/>
      <c r="N15" s="52">
        <f t="shared" si="0"/>
        <v>168180</v>
      </c>
      <c r="O15" s="44">
        <f t="shared" si="1"/>
        <v>0.13720819904244699</v>
      </c>
    </row>
    <row r="16" spans="1:15" s="54" customFormat="1" ht="16.8" x14ac:dyDescent="0.4">
      <c r="A16" s="42" t="s">
        <v>179</v>
      </c>
      <c r="B16" s="52">
        <v>21320</v>
      </c>
      <c r="C16" s="52">
        <v>20010</v>
      </c>
      <c r="D16" s="52">
        <v>26900</v>
      </c>
      <c r="E16" s="52">
        <v>26680</v>
      </c>
      <c r="F16" s="52">
        <v>19740</v>
      </c>
      <c r="G16" s="52"/>
      <c r="H16" s="52"/>
      <c r="I16" s="52"/>
      <c r="J16" s="52"/>
      <c r="K16" s="52">
        <f>21900-3650</f>
        <v>18250</v>
      </c>
      <c r="L16" s="52">
        <f>26736-4456</f>
        <v>22280</v>
      </c>
      <c r="M16" s="52">
        <f>26136-4356</f>
        <v>21780</v>
      </c>
      <c r="N16" s="52">
        <f t="shared" si="0"/>
        <v>176960</v>
      </c>
      <c r="O16" s="44">
        <f t="shared" si="1"/>
        <v>0.14437128613718292</v>
      </c>
    </row>
    <row r="17" spans="1:15" s="54" customFormat="1" ht="16.8" x14ac:dyDescent="0.4">
      <c r="A17" s="42" t="s">
        <v>114</v>
      </c>
      <c r="B17" s="52"/>
      <c r="C17" s="52">
        <v>500</v>
      </c>
      <c r="D17" s="52">
        <v>120</v>
      </c>
      <c r="E17" s="52">
        <f>240+500</f>
        <v>740</v>
      </c>
      <c r="F17" s="52"/>
      <c r="G17" s="52">
        <v>480</v>
      </c>
      <c r="H17" s="52">
        <v>1240</v>
      </c>
      <c r="I17" s="52">
        <v>512</v>
      </c>
      <c r="J17" s="52">
        <f>360+500</f>
        <v>860</v>
      </c>
      <c r="K17" s="52">
        <v>120</v>
      </c>
      <c r="L17" s="52">
        <v>120</v>
      </c>
      <c r="M17" s="52">
        <v>120</v>
      </c>
      <c r="N17" s="52">
        <f t="shared" si="0"/>
        <v>4812</v>
      </c>
      <c r="O17" s="44">
        <f t="shared" si="1"/>
        <v>3.9258285990739382E-3</v>
      </c>
    </row>
    <row r="18" spans="1:15" s="54" customFormat="1" ht="16.8" x14ac:dyDescent="0.4">
      <c r="A18" s="42" t="s">
        <v>7</v>
      </c>
      <c r="B18" s="52"/>
      <c r="C18" s="52"/>
      <c r="D18" s="52">
        <v>285</v>
      </c>
      <c r="E18" s="52"/>
      <c r="F18" s="52"/>
      <c r="G18" s="52"/>
      <c r="H18" s="52"/>
      <c r="I18" s="52"/>
      <c r="J18" s="52"/>
      <c r="K18" s="52"/>
      <c r="L18" s="52"/>
      <c r="M18" s="52"/>
      <c r="N18" s="52">
        <f t="shared" si="0"/>
        <v>285</v>
      </c>
      <c r="O18" s="44">
        <f t="shared" si="1"/>
        <v>2.3251478610475322E-4</v>
      </c>
    </row>
    <row r="19" spans="1:15" s="54" customFormat="1" ht="16.8" x14ac:dyDescent="0.4">
      <c r="A19" s="42" t="s">
        <v>158</v>
      </c>
      <c r="B19" s="52"/>
      <c r="C19" s="52"/>
      <c r="D19" s="52"/>
      <c r="E19" s="52"/>
      <c r="F19" s="52">
        <v>136</v>
      </c>
      <c r="G19" s="52">
        <v>232</v>
      </c>
      <c r="H19" s="52">
        <v>536</v>
      </c>
      <c r="I19" s="52">
        <v>352</v>
      </c>
      <c r="J19" s="52">
        <f>380-76</f>
        <v>304</v>
      </c>
      <c r="K19" s="52"/>
      <c r="L19" s="52"/>
      <c r="M19" s="52"/>
      <c r="N19" s="52">
        <f t="shared" si="0"/>
        <v>1560</v>
      </c>
      <c r="O19" s="44">
        <f t="shared" si="1"/>
        <v>1.2727125134154912E-3</v>
      </c>
    </row>
    <row r="20" spans="1:15" s="54" customFormat="1" ht="16.8" x14ac:dyDescent="0.4">
      <c r="A20" s="42" t="s">
        <v>185</v>
      </c>
      <c r="B20" s="52">
        <v>12</v>
      </c>
      <c r="C20" s="52">
        <v>12</v>
      </c>
      <c r="D20" s="52">
        <v>66</v>
      </c>
      <c r="E20" s="52">
        <v>48</v>
      </c>
      <c r="F20" s="52">
        <v>108</v>
      </c>
      <c r="G20" s="52"/>
      <c r="H20" s="52"/>
      <c r="I20" s="52"/>
      <c r="J20" s="52"/>
      <c r="K20" s="52">
        <f>119-17</f>
        <v>102</v>
      </c>
      <c r="L20" s="52">
        <f>21-3</f>
        <v>18</v>
      </c>
      <c r="M20" s="52">
        <f>21-3</f>
        <v>18</v>
      </c>
      <c r="N20" s="52">
        <f t="shared" si="0"/>
        <v>384</v>
      </c>
      <c r="O20" s="44">
        <f t="shared" si="1"/>
        <v>3.1328308022535167E-4</v>
      </c>
    </row>
    <row r="21" spans="1:15" s="54" customFormat="1" ht="16.8" x14ac:dyDescent="0.4">
      <c r="A21" s="42" t="s">
        <v>10</v>
      </c>
      <c r="B21" s="52">
        <v>104.5</v>
      </c>
      <c r="C21" s="52">
        <v>99</v>
      </c>
      <c r="D21" s="52">
        <v>115.5</v>
      </c>
      <c r="E21" s="52">
        <v>88</v>
      </c>
      <c r="F21" s="52">
        <v>115.5</v>
      </c>
      <c r="G21" s="52">
        <v>55</v>
      </c>
      <c r="H21" s="52"/>
      <c r="I21" s="52"/>
      <c r="J21" s="52">
        <v>88</v>
      </c>
      <c r="K21" s="52">
        <v>121</v>
      </c>
      <c r="L21" s="52">
        <v>104.5</v>
      </c>
      <c r="M21" s="52">
        <v>71.5</v>
      </c>
      <c r="N21" s="52">
        <f>SUM(B21:M21)</f>
        <v>962.5</v>
      </c>
      <c r="O21" s="44">
        <f t="shared" si="1"/>
        <v>7.8524730395026306E-4</v>
      </c>
    </row>
    <row r="22" spans="1:15" s="54" customFormat="1" ht="16.8" x14ac:dyDescent="0.4">
      <c r="A22" s="42" t="s">
        <v>11</v>
      </c>
      <c r="B22" s="52">
        <v>12</v>
      </c>
      <c r="C22" s="52"/>
      <c r="D22" s="52">
        <v>12</v>
      </c>
      <c r="E22" s="52"/>
      <c r="F22" s="52">
        <v>36</v>
      </c>
      <c r="G22" s="52">
        <v>6</v>
      </c>
      <c r="H22" s="52">
        <v>24</v>
      </c>
      <c r="I22" s="52">
        <v>6</v>
      </c>
      <c r="J22" s="52">
        <f>56-14</f>
        <v>42</v>
      </c>
      <c r="K22" s="52">
        <f>53-14</f>
        <v>39</v>
      </c>
      <c r="L22" s="52">
        <f>56-14</f>
        <v>42</v>
      </c>
      <c r="M22" s="52">
        <f>16-4</f>
        <v>12</v>
      </c>
      <c r="N22" s="52">
        <f t="shared" si="0"/>
        <v>231</v>
      </c>
      <c r="O22" s="44">
        <f t="shared" si="1"/>
        <v>1.8845935294806314E-4</v>
      </c>
    </row>
    <row r="23" spans="1:15" s="54" customFormat="1" ht="16.8" x14ac:dyDescent="0.4">
      <c r="A23" s="42" t="s">
        <v>159</v>
      </c>
      <c r="B23" s="52"/>
      <c r="C23" s="52"/>
      <c r="D23" s="52"/>
      <c r="E23" s="52"/>
      <c r="F23" s="52">
        <v>4230</v>
      </c>
      <c r="G23" s="52">
        <v>10450</v>
      </c>
      <c r="H23" s="52">
        <v>12370</v>
      </c>
      <c r="I23" s="52">
        <v>12120</v>
      </c>
      <c r="J23" s="52">
        <f>10440-1740</f>
        <v>8700</v>
      </c>
      <c r="K23" s="52"/>
      <c r="L23" s="52"/>
      <c r="M23" s="52"/>
      <c r="N23" s="52">
        <f>SUM(B23:M23)</f>
        <v>47870</v>
      </c>
      <c r="O23" s="44">
        <f t="shared" si="1"/>
        <v>3.9054325652051004E-2</v>
      </c>
    </row>
    <row r="24" spans="1:15" s="54" customFormat="1" ht="16.8" x14ac:dyDescent="0.4">
      <c r="A24" s="42" t="s">
        <v>181</v>
      </c>
      <c r="B24" s="52">
        <v>5824</v>
      </c>
      <c r="C24" s="52">
        <v>5696</v>
      </c>
      <c r="D24" s="52">
        <v>7488</v>
      </c>
      <c r="E24" s="52">
        <v>7840</v>
      </c>
      <c r="F24" s="52">
        <v>5192</v>
      </c>
      <c r="G24" s="52"/>
      <c r="H24" s="52"/>
      <c r="I24" s="52"/>
      <c r="J24" s="52"/>
      <c r="K24" s="52">
        <f>7160-1432</f>
        <v>5728</v>
      </c>
      <c r="L24" s="52">
        <f>7290-1458</f>
        <v>5832</v>
      </c>
      <c r="M24" s="52">
        <f>7220-1444</f>
        <v>5776</v>
      </c>
      <c r="N24" s="52">
        <f>SUM(B24:M24)</f>
        <v>49376</v>
      </c>
      <c r="O24" s="44">
        <f t="shared" si="1"/>
        <v>4.0282982732309805E-2</v>
      </c>
    </row>
    <row r="25" spans="1:15" s="54" customFormat="1" ht="16.8" x14ac:dyDescent="0.4">
      <c r="A25" s="42" t="s">
        <v>211</v>
      </c>
      <c r="B25" s="52"/>
      <c r="C25" s="52"/>
      <c r="D25" s="52"/>
      <c r="E25" s="52"/>
      <c r="F25" s="52">
        <v>1810</v>
      </c>
      <c r="G25" s="52">
        <v>4517.5</v>
      </c>
      <c r="H25" s="52">
        <v>7435</v>
      </c>
      <c r="I25" s="52">
        <v>7412.5</v>
      </c>
      <c r="J25" s="52">
        <f>4515-752.5</f>
        <v>3762.5</v>
      </c>
      <c r="K25" s="52"/>
      <c r="L25" s="52"/>
      <c r="M25" s="52"/>
      <c r="N25" s="52">
        <f>SUM(B25:M25)</f>
        <v>24937.5</v>
      </c>
      <c r="O25" s="44">
        <f t="shared" si="1"/>
        <v>2.0345043784165906E-2</v>
      </c>
    </row>
    <row r="26" spans="1:15" s="54" customFormat="1" ht="16.8" x14ac:dyDescent="0.4">
      <c r="A26" s="42" t="s">
        <v>212</v>
      </c>
      <c r="B26" s="52">
        <v>1244</v>
      </c>
      <c r="C26" s="52">
        <v>1266</v>
      </c>
      <c r="D26" s="52">
        <v>1788</v>
      </c>
      <c r="E26" s="52">
        <v>2294</v>
      </c>
      <c r="F26" s="52">
        <v>1732</v>
      </c>
      <c r="G26" s="52"/>
      <c r="H26" s="52"/>
      <c r="I26" s="52"/>
      <c r="J26" s="52"/>
      <c r="K26" s="52">
        <f>2086</f>
        <v>2086</v>
      </c>
      <c r="L26" s="52">
        <v>1926</v>
      </c>
      <c r="M26" s="52">
        <v>1888</v>
      </c>
      <c r="N26" s="52">
        <f>SUM(B26:M26)</f>
        <v>14224</v>
      </c>
      <c r="O26" s="44">
        <f t="shared" si="1"/>
        <v>1.1604527430014069E-2</v>
      </c>
    </row>
    <row r="27" spans="1:15" s="54" customFormat="1" ht="16.8" x14ac:dyDescent="0.4">
      <c r="A27" s="42" t="s">
        <v>186</v>
      </c>
      <c r="B27" s="52"/>
      <c r="C27" s="52"/>
      <c r="D27" s="52"/>
      <c r="E27" s="52"/>
      <c r="F27" s="52">
        <v>7</v>
      </c>
      <c r="G27" s="52">
        <v>35</v>
      </c>
      <c r="H27" s="52">
        <v>42</v>
      </c>
      <c r="I27" s="52">
        <v>35</v>
      </c>
      <c r="J27" s="52">
        <f>72-16</f>
        <v>56</v>
      </c>
      <c r="K27" s="52"/>
      <c r="L27" s="52"/>
      <c r="M27" s="52"/>
      <c r="N27" s="52">
        <f t="shared" si="0"/>
        <v>175</v>
      </c>
      <c r="O27" s="44">
        <f t="shared" si="1"/>
        <v>1.4277223708186602E-4</v>
      </c>
    </row>
    <row r="28" spans="1:15" s="54" customFormat="1" ht="16.8" x14ac:dyDescent="0.4">
      <c r="A28" s="42" t="s">
        <v>182</v>
      </c>
      <c r="B28" s="52"/>
      <c r="C28" s="52">
        <v>5</v>
      </c>
      <c r="D28" s="52">
        <v>10</v>
      </c>
      <c r="E28" s="52"/>
      <c r="F28" s="52">
        <v>10</v>
      </c>
      <c r="G28" s="52"/>
      <c r="H28" s="52"/>
      <c r="I28" s="52"/>
      <c r="J28" s="52"/>
      <c r="K28" s="52">
        <f>6-1</f>
        <v>5</v>
      </c>
      <c r="L28" s="52"/>
      <c r="M28" s="52">
        <f>12-2</f>
        <v>10</v>
      </c>
      <c r="N28" s="52">
        <f t="shared" si="0"/>
        <v>40</v>
      </c>
      <c r="O28" s="44">
        <f t="shared" si="1"/>
        <v>3.2633654190140804E-5</v>
      </c>
    </row>
    <row r="29" spans="1:15" s="54" customFormat="1" ht="16.8" x14ac:dyDescent="0.4">
      <c r="A29" s="42" t="s">
        <v>14</v>
      </c>
      <c r="B29" s="52">
        <v>3040</v>
      </c>
      <c r="C29" s="52">
        <v>2480</v>
      </c>
      <c r="D29" s="52">
        <v>2960</v>
      </c>
      <c r="E29" s="52">
        <v>3280</v>
      </c>
      <c r="F29" s="52">
        <v>5000</v>
      </c>
      <c r="G29" s="52">
        <v>4360</v>
      </c>
      <c r="H29" s="52">
        <v>10560</v>
      </c>
      <c r="I29" s="52">
        <v>2480</v>
      </c>
      <c r="J29" s="52">
        <f>2990-390</f>
        <v>2600</v>
      </c>
      <c r="K29" s="52">
        <f>3496-456</f>
        <v>3040</v>
      </c>
      <c r="L29" s="52">
        <f>3266-426</f>
        <v>2840</v>
      </c>
      <c r="M29" s="52">
        <f>3312-432</f>
        <v>2880</v>
      </c>
      <c r="N29" s="52">
        <f>SUM(B29:M29)</f>
        <v>45520</v>
      </c>
      <c r="O29" s="44">
        <f t="shared" si="1"/>
        <v>3.7137098468380231E-2</v>
      </c>
    </row>
    <row r="30" spans="1:15" s="54" customFormat="1" ht="16.8" x14ac:dyDescent="0.4">
      <c r="A30" s="42" t="s">
        <v>162</v>
      </c>
      <c r="B30" s="52"/>
      <c r="C30" s="52"/>
      <c r="D30" s="52"/>
      <c r="E30" s="52"/>
      <c r="F30" s="52">
        <v>182</v>
      </c>
      <c r="G30" s="52">
        <v>350</v>
      </c>
      <c r="H30" s="52">
        <v>416.5</v>
      </c>
      <c r="I30" s="52"/>
      <c r="J30" s="52"/>
      <c r="K30" s="52"/>
      <c r="L30" s="52"/>
      <c r="M30" s="52"/>
      <c r="N30" s="52">
        <f t="shared" si="0"/>
        <v>948.5</v>
      </c>
      <c r="O30" s="44">
        <f t="shared" si="1"/>
        <v>7.7382552498371374E-4</v>
      </c>
    </row>
    <row r="31" spans="1:15" s="54" customFormat="1" ht="16.8" x14ac:dyDescent="0.4">
      <c r="A31" s="42" t="s">
        <v>183</v>
      </c>
      <c r="B31" s="52">
        <v>6</v>
      </c>
      <c r="C31" s="52">
        <v>42</v>
      </c>
      <c r="D31" s="52">
        <v>63</v>
      </c>
      <c r="E31" s="52">
        <v>72</v>
      </c>
      <c r="F31" s="52">
        <v>174</v>
      </c>
      <c r="G31" s="52"/>
      <c r="H31" s="52"/>
      <c r="I31" s="52"/>
      <c r="J31" s="52"/>
      <c r="K31" s="52"/>
      <c r="L31" s="52"/>
      <c r="M31" s="52"/>
      <c r="N31" s="52">
        <f t="shared" si="0"/>
        <v>357</v>
      </c>
      <c r="O31" s="44">
        <f t="shared" si="1"/>
        <v>2.9125536364700663E-4</v>
      </c>
    </row>
    <row r="32" spans="1:15" s="54" customFormat="1" ht="16.8" x14ac:dyDescent="0.4">
      <c r="A32" s="42" t="s">
        <v>196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>
        <f t="shared" si="0"/>
        <v>0</v>
      </c>
      <c r="O32" s="44">
        <f t="shared" si="1"/>
        <v>0</v>
      </c>
    </row>
    <row r="33" spans="1:15" s="54" customFormat="1" ht="16.8" x14ac:dyDescent="0.4">
      <c r="A33" s="42" t="s">
        <v>163</v>
      </c>
      <c r="B33" s="52"/>
      <c r="C33" s="52"/>
      <c r="D33" s="52"/>
      <c r="E33" s="52"/>
      <c r="F33" s="52">
        <v>1856</v>
      </c>
      <c r="G33" s="52">
        <v>4544</v>
      </c>
      <c r="H33" s="52">
        <v>4320</v>
      </c>
      <c r="I33" s="52">
        <v>3568</v>
      </c>
      <c r="J33" s="52">
        <f>4473-1065</f>
        <v>3408</v>
      </c>
      <c r="K33" s="52"/>
      <c r="L33" s="52"/>
      <c r="M33" s="52"/>
      <c r="N33" s="52">
        <f t="shared" si="0"/>
        <v>17696</v>
      </c>
      <c r="O33" s="44">
        <f t="shared" si="1"/>
        <v>1.443712861371829E-2</v>
      </c>
    </row>
    <row r="34" spans="1:15" s="54" customFormat="1" ht="16.8" x14ac:dyDescent="0.4">
      <c r="A34" s="42" t="s">
        <v>187</v>
      </c>
      <c r="B34" s="52">
        <v>3510</v>
      </c>
      <c r="C34" s="52">
        <v>2873</v>
      </c>
      <c r="D34" s="52">
        <v>3393</v>
      </c>
      <c r="E34" s="52">
        <v>3237</v>
      </c>
      <c r="F34" s="52">
        <v>2080</v>
      </c>
      <c r="G34" s="52"/>
      <c r="H34" s="52"/>
      <c r="I34" s="52"/>
      <c r="J34" s="52"/>
      <c r="K34" s="52">
        <f>3213-756</f>
        <v>2457</v>
      </c>
      <c r="L34" s="52">
        <f>3417-804</f>
        <v>2613</v>
      </c>
      <c r="M34" s="52">
        <f>2431-572</f>
        <v>1859</v>
      </c>
      <c r="N34" s="52">
        <f t="shared" si="0"/>
        <v>22022</v>
      </c>
      <c r="O34" s="44">
        <f t="shared" si="1"/>
        <v>1.7966458314382018E-2</v>
      </c>
    </row>
    <row r="35" spans="1:15" s="54" customFormat="1" ht="16.8" x14ac:dyDescent="0.4">
      <c r="A35" s="42" t="s">
        <v>164</v>
      </c>
      <c r="B35" s="52"/>
      <c r="C35" s="52"/>
      <c r="D35" s="52"/>
      <c r="E35" s="52"/>
      <c r="F35" s="52">
        <v>1104</v>
      </c>
      <c r="G35" s="52">
        <v>2691</v>
      </c>
      <c r="H35" s="52">
        <v>1702</v>
      </c>
      <c r="I35" s="52">
        <v>2208</v>
      </c>
      <c r="J35" s="52">
        <f>2520-588</f>
        <v>1932</v>
      </c>
      <c r="K35" s="52"/>
      <c r="L35" s="52"/>
      <c r="M35" s="52"/>
      <c r="N35" s="52">
        <f t="shared" si="0"/>
        <v>9637</v>
      </c>
      <c r="O35" s="44">
        <f t="shared" si="1"/>
        <v>7.8622631357596721E-3</v>
      </c>
    </row>
    <row r="36" spans="1:15" s="54" customFormat="1" ht="16.8" x14ac:dyDescent="0.4">
      <c r="A36" s="42" t="s">
        <v>188</v>
      </c>
      <c r="B36" s="52">
        <v>2299</v>
      </c>
      <c r="C36" s="52">
        <v>1691</v>
      </c>
      <c r="D36" s="52">
        <v>1520</v>
      </c>
      <c r="E36" s="52">
        <v>1957</v>
      </c>
      <c r="F36" s="52">
        <v>1083</v>
      </c>
      <c r="G36" s="52"/>
      <c r="H36" s="52"/>
      <c r="I36" s="52"/>
      <c r="J36" s="52"/>
      <c r="K36" s="52">
        <f>3050-732</f>
        <v>2318</v>
      </c>
      <c r="L36" s="52">
        <f>2975-714</f>
        <v>2261</v>
      </c>
      <c r="M36" s="52">
        <f>2300-552</f>
        <v>1748</v>
      </c>
      <c r="N36" s="52">
        <f t="shared" si="0"/>
        <v>14877</v>
      </c>
      <c r="O36" s="44">
        <f t="shared" si="1"/>
        <v>1.2137271834668117E-2</v>
      </c>
    </row>
    <row r="37" spans="1:15" s="54" customFormat="1" ht="16.8" x14ac:dyDescent="0.4">
      <c r="A37" s="42" t="s">
        <v>165</v>
      </c>
      <c r="B37" s="52"/>
      <c r="C37" s="52"/>
      <c r="D37" s="52"/>
      <c r="E37" s="52"/>
      <c r="F37" s="52">
        <v>1050</v>
      </c>
      <c r="G37" s="52">
        <v>3240</v>
      </c>
      <c r="H37" s="52">
        <v>2970</v>
      </c>
      <c r="I37" s="52">
        <v>2220</v>
      </c>
      <c r="J37" s="52">
        <f>2691-621</f>
        <v>2070</v>
      </c>
      <c r="K37" s="52"/>
      <c r="L37" s="52"/>
      <c r="M37" s="52"/>
      <c r="N37" s="52">
        <f t="shared" si="0"/>
        <v>11550</v>
      </c>
      <c r="O37" s="44">
        <f t="shared" si="1"/>
        <v>9.4229676474031562E-3</v>
      </c>
    </row>
    <row r="38" spans="1:15" s="54" customFormat="1" ht="16.8" x14ac:dyDescent="0.4">
      <c r="A38" s="42" t="s">
        <v>189</v>
      </c>
      <c r="B38" s="52">
        <v>1225</v>
      </c>
      <c r="C38" s="52">
        <v>1125</v>
      </c>
      <c r="D38" s="52">
        <v>1800</v>
      </c>
      <c r="E38" s="52">
        <v>1975</v>
      </c>
      <c r="F38" s="52">
        <v>1325</v>
      </c>
      <c r="G38" s="52"/>
      <c r="H38" s="52"/>
      <c r="I38" s="52"/>
      <c r="J38" s="52"/>
      <c r="K38" s="52">
        <f>1980-480</f>
        <v>1500</v>
      </c>
      <c r="L38" s="52">
        <f>1485-360</f>
        <v>1125</v>
      </c>
      <c r="M38" s="52">
        <f>1551-376</f>
        <v>1175</v>
      </c>
      <c r="N38" s="52">
        <f t="shared" si="0"/>
        <v>11250</v>
      </c>
      <c r="O38" s="44">
        <f t="shared" si="1"/>
        <v>9.1782152409771011E-3</v>
      </c>
    </row>
    <row r="39" spans="1:15" s="54" customFormat="1" ht="16.8" x14ac:dyDescent="0.4">
      <c r="A39" s="42" t="s">
        <v>166</v>
      </c>
      <c r="B39" s="52"/>
      <c r="C39" s="52"/>
      <c r="D39" s="52"/>
      <c r="E39" s="52"/>
      <c r="F39" s="52">
        <v>1131</v>
      </c>
      <c r="G39" s="52">
        <v>2457</v>
      </c>
      <c r="H39" s="52">
        <v>2769</v>
      </c>
      <c r="I39" s="52">
        <v>3198</v>
      </c>
      <c r="J39" s="52">
        <f>3009-708</f>
        <v>2301</v>
      </c>
      <c r="K39" s="52"/>
      <c r="L39" s="52"/>
      <c r="M39" s="52"/>
      <c r="N39" s="52">
        <f t="shared" si="0"/>
        <v>11856</v>
      </c>
      <c r="O39" s="44">
        <f t="shared" si="1"/>
        <v>9.6726151019577329E-3</v>
      </c>
    </row>
    <row r="40" spans="1:15" s="54" customFormat="1" ht="16.8" x14ac:dyDescent="0.4">
      <c r="A40" s="42" t="s">
        <v>190</v>
      </c>
      <c r="B40" s="52">
        <v>1600</v>
      </c>
      <c r="C40" s="52">
        <v>1312</v>
      </c>
      <c r="D40" s="52">
        <v>1696</v>
      </c>
      <c r="E40" s="52">
        <v>2112</v>
      </c>
      <c r="F40" s="52">
        <v>1152</v>
      </c>
      <c r="G40" s="52"/>
      <c r="H40" s="52"/>
      <c r="I40" s="52"/>
      <c r="J40" s="52"/>
      <c r="K40" s="52">
        <f>2940-700</f>
        <v>2240</v>
      </c>
      <c r="L40" s="52">
        <f>1386-330</f>
        <v>1056</v>
      </c>
      <c r="M40" s="52">
        <f>1176-280</f>
        <v>896</v>
      </c>
      <c r="N40" s="52">
        <f t="shared" si="0"/>
        <v>12064</v>
      </c>
      <c r="O40" s="44">
        <f t="shared" si="1"/>
        <v>9.8423101037464662E-3</v>
      </c>
    </row>
    <row r="41" spans="1:15" s="54" customFormat="1" ht="16.8" x14ac:dyDescent="0.4">
      <c r="A41" s="42" t="s">
        <v>167</v>
      </c>
      <c r="B41" s="52"/>
      <c r="C41" s="52"/>
      <c r="D41" s="52"/>
      <c r="E41" s="52"/>
      <c r="F41" s="52">
        <v>539</v>
      </c>
      <c r="G41" s="52">
        <v>1078</v>
      </c>
      <c r="H41" s="52">
        <v>1666</v>
      </c>
      <c r="I41" s="52">
        <v>1372</v>
      </c>
      <c r="J41" s="52">
        <f>1536-360</f>
        <v>1176</v>
      </c>
      <c r="K41" s="52"/>
      <c r="L41" s="52"/>
      <c r="M41" s="52"/>
      <c r="N41" s="52">
        <f t="shared" si="0"/>
        <v>5831</v>
      </c>
      <c r="O41" s="44">
        <f t="shared" si="1"/>
        <v>4.7571709395677758E-3</v>
      </c>
    </row>
    <row r="42" spans="1:15" s="54" customFormat="1" ht="16.8" x14ac:dyDescent="0.4">
      <c r="A42" s="42" t="s">
        <v>191</v>
      </c>
      <c r="B42" s="52">
        <v>640</v>
      </c>
      <c r="C42" s="52">
        <v>640</v>
      </c>
      <c r="D42" s="52">
        <v>640</v>
      </c>
      <c r="E42" s="52">
        <v>800</v>
      </c>
      <c r="F42" s="52">
        <v>680</v>
      </c>
      <c r="G42" s="52"/>
      <c r="H42" s="52"/>
      <c r="I42" s="52"/>
      <c r="J42" s="52"/>
      <c r="K42" s="52">
        <f>1300-300</f>
        <v>1000</v>
      </c>
      <c r="L42" s="52">
        <f>780-180</f>
        <v>600</v>
      </c>
      <c r="M42" s="52">
        <f>416-96</f>
        <v>320</v>
      </c>
      <c r="N42" s="52">
        <f t="shared" si="0"/>
        <v>5320</v>
      </c>
      <c r="O42" s="44">
        <f t="shared" si="1"/>
        <v>4.3402760072887266E-3</v>
      </c>
    </row>
    <row r="43" spans="1:15" s="54" customFormat="1" ht="16.8" x14ac:dyDescent="0.4">
      <c r="A43" s="42" t="s">
        <v>168</v>
      </c>
      <c r="B43" s="52"/>
      <c r="C43" s="52"/>
      <c r="D43" s="52"/>
      <c r="E43" s="52"/>
      <c r="F43" s="52">
        <v>300</v>
      </c>
      <c r="G43" s="52">
        <v>480</v>
      </c>
      <c r="H43" s="52">
        <v>1020</v>
      </c>
      <c r="I43" s="52">
        <v>600</v>
      </c>
      <c r="J43" s="52">
        <f>1170-270</f>
        <v>900</v>
      </c>
      <c r="K43" s="52"/>
      <c r="L43" s="52"/>
      <c r="M43" s="52"/>
      <c r="N43" s="52">
        <f t="shared" si="0"/>
        <v>3300</v>
      </c>
      <c r="O43" s="44">
        <f t="shared" si="1"/>
        <v>2.6922764706866164E-3</v>
      </c>
    </row>
    <row r="44" spans="1:15" s="54" customFormat="1" ht="16.8" x14ac:dyDescent="0.4">
      <c r="A44" s="42" t="s">
        <v>192</v>
      </c>
      <c r="B44" s="52">
        <v>441</v>
      </c>
      <c r="C44" s="52">
        <v>147</v>
      </c>
      <c r="D44" s="52">
        <v>441</v>
      </c>
      <c r="E44" s="52">
        <v>392</v>
      </c>
      <c r="F44" s="52">
        <v>343</v>
      </c>
      <c r="G44" s="52"/>
      <c r="H44" s="52"/>
      <c r="I44" s="52"/>
      <c r="J44" s="52"/>
      <c r="K44" s="52">
        <f>832-195</f>
        <v>637</v>
      </c>
      <c r="L44" s="52">
        <f>576-135</f>
        <v>441</v>
      </c>
      <c r="M44" s="52">
        <f>448-105</f>
        <v>343</v>
      </c>
      <c r="N44" s="52">
        <f t="shared" si="0"/>
        <v>3185</v>
      </c>
      <c r="O44" s="44">
        <f t="shared" si="1"/>
        <v>2.5984547148899615E-3</v>
      </c>
    </row>
    <row r="45" spans="1:15" s="54" customFormat="1" ht="16.8" x14ac:dyDescent="0.4">
      <c r="A45" s="42" t="s">
        <v>169</v>
      </c>
      <c r="B45" s="52"/>
      <c r="C45" s="52"/>
      <c r="D45" s="52"/>
      <c r="E45" s="52"/>
      <c r="F45" s="52">
        <v>360</v>
      </c>
      <c r="G45" s="52">
        <v>216</v>
      </c>
      <c r="H45" s="52">
        <v>144</v>
      </c>
      <c r="I45" s="52">
        <v>288</v>
      </c>
      <c r="J45" s="52">
        <f>282-66</f>
        <v>216</v>
      </c>
      <c r="K45" s="52"/>
      <c r="L45" s="52"/>
      <c r="M45" s="52"/>
      <c r="N45" s="52">
        <f t="shared" si="0"/>
        <v>1224</v>
      </c>
      <c r="O45" s="44">
        <f t="shared" si="1"/>
        <v>9.9858981821830846E-4</v>
      </c>
    </row>
    <row r="46" spans="1:15" s="54" customFormat="1" ht="16.8" x14ac:dyDescent="0.4">
      <c r="A46" s="42" t="s">
        <v>193</v>
      </c>
      <c r="B46" s="52">
        <v>177</v>
      </c>
      <c r="C46" s="52">
        <v>59</v>
      </c>
      <c r="D46" s="52">
        <v>59</v>
      </c>
      <c r="E46" s="52">
        <v>118</v>
      </c>
      <c r="F46" s="52">
        <v>118</v>
      </c>
      <c r="G46" s="52"/>
      <c r="H46" s="52"/>
      <c r="I46" s="52"/>
      <c r="J46" s="52"/>
      <c r="K46" s="52">
        <f>231-54</f>
        <v>177</v>
      </c>
      <c r="L46" s="52">
        <f>77-18</f>
        <v>59</v>
      </c>
      <c r="M46" s="52">
        <f>385-90</f>
        <v>295</v>
      </c>
      <c r="N46" s="52">
        <f t="shared" si="0"/>
        <v>1062</v>
      </c>
      <c r="O46" s="44">
        <f t="shared" si="1"/>
        <v>8.6642351874823833E-4</v>
      </c>
    </row>
    <row r="47" spans="1:15" s="54" customFormat="1" ht="16.8" x14ac:dyDescent="0.4">
      <c r="A47" s="42" t="s">
        <v>170</v>
      </c>
      <c r="B47" s="52"/>
      <c r="C47" s="52"/>
      <c r="D47" s="52"/>
      <c r="E47" s="52"/>
      <c r="F47" s="52">
        <v>168</v>
      </c>
      <c r="G47" s="52">
        <v>84</v>
      </c>
      <c r="H47" s="52">
        <v>336</v>
      </c>
      <c r="I47" s="52">
        <v>84</v>
      </c>
      <c r="J47" s="52"/>
      <c r="K47" s="52"/>
      <c r="L47" s="52"/>
      <c r="M47" s="52"/>
      <c r="N47" s="52">
        <f t="shared" si="0"/>
        <v>672</v>
      </c>
      <c r="O47" s="44">
        <f t="shared" si="1"/>
        <v>5.4824539039436543E-4</v>
      </c>
    </row>
    <row r="48" spans="1:15" s="54" customFormat="1" ht="16.8" x14ac:dyDescent="0.4">
      <c r="A48" s="42" t="s">
        <v>194</v>
      </c>
      <c r="B48" s="52">
        <v>69</v>
      </c>
      <c r="C48" s="52">
        <v>69</v>
      </c>
      <c r="D48" s="52">
        <v>69</v>
      </c>
      <c r="E48" s="52">
        <v>138</v>
      </c>
      <c r="F48" s="52">
        <v>345</v>
      </c>
      <c r="G48" s="52"/>
      <c r="H48" s="52"/>
      <c r="I48" s="52"/>
      <c r="J48" s="52"/>
      <c r="K48" s="52"/>
      <c r="L48" s="52">
        <f>90-21</f>
        <v>69</v>
      </c>
      <c r="M48" s="52"/>
      <c r="N48" s="52">
        <f t="shared" si="0"/>
        <v>759</v>
      </c>
      <c r="O48" s="44">
        <f t="shared" si="1"/>
        <v>6.1922358825792167E-4</v>
      </c>
    </row>
    <row r="49" spans="1:15" s="54" customFormat="1" ht="16.8" x14ac:dyDescent="0.4">
      <c r="A49" s="42" t="s">
        <v>171</v>
      </c>
      <c r="B49" s="52"/>
      <c r="C49" s="52"/>
      <c r="D49" s="52"/>
      <c r="E49" s="52"/>
      <c r="F49" s="52">
        <v>396</v>
      </c>
      <c r="G49" s="52">
        <v>396</v>
      </c>
      <c r="H49" s="52">
        <v>297</v>
      </c>
      <c r="I49" s="52">
        <v>297</v>
      </c>
      <c r="J49" s="52">
        <f>516-120</f>
        <v>396</v>
      </c>
      <c r="K49" s="52"/>
      <c r="L49" s="52"/>
      <c r="M49" s="52"/>
      <c r="N49" s="52">
        <f t="shared" si="0"/>
        <v>1782</v>
      </c>
      <c r="O49" s="44">
        <f t="shared" si="1"/>
        <v>1.4538292941707728E-3</v>
      </c>
    </row>
    <row r="50" spans="1:15" s="54" customFormat="1" ht="16.8" x14ac:dyDescent="0.4">
      <c r="A50" s="42" t="s">
        <v>195</v>
      </c>
      <c r="B50" s="52">
        <v>243</v>
      </c>
      <c r="C50" s="52"/>
      <c r="D50" s="52">
        <v>162</v>
      </c>
      <c r="E50" s="52">
        <v>81</v>
      </c>
      <c r="F50" s="52">
        <v>405</v>
      </c>
      <c r="G50" s="52"/>
      <c r="H50" s="52"/>
      <c r="I50" s="52"/>
      <c r="J50" s="52"/>
      <c r="K50" s="52">
        <f>630-144</f>
        <v>486</v>
      </c>
      <c r="L50" s="52">
        <f>630-144</f>
        <v>486</v>
      </c>
      <c r="M50" s="52">
        <f>210-48</f>
        <v>162</v>
      </c>
      <c r="N50" s="52">
        <f t="shared" si="0"/>
        <v>2025</v>
      </c>
      <c r="O50" s="44">
        <f t="shared" si="1"/>
        <v>1.6520787433758782E-3</v>
      </c>
    </row>
    <row r="51" spans="1:15" s="54" customFormat="1" ht="16.8" x14ac:dyDescent="0.4">
      <c r="A51" s="42" t="s">
        <v>198</v>
      </c>
      <c r="B51" s="52">
        <v>11.4</v>
      </c>
      <c r="C51" s="52">
        <v>10.8</v>
      </c>
      <c r="D51" s="52">
        <v>12.6</v>
      </c>
      <c r="E51" s="52">
        <v>9.6</v>
      </c>
      <c r="F51" s="52">
        <v>12.6</v>
      </c>
      <c r="G51" s="52">
        <v>6</v>
      </c>
      <c r="H51" s="52"/>
      <c r="I51" s="52"/>
      <c r="J51" s="52">
        <v>9.6</v>
      </c>
      <c r="K51" s="52">
        <v>13.2</v>
      </c>
      <c r="L51" s="52">
        <v>11.4</v>
      </c>
      <c r="M51" s="52">
        <v>7.8</v>
      </c>
      <c r="N51" s="52">
        <f t="shared" si="0"/>
        <v>105.00000000000001</v>
      </c>
      <c r="O51" s="44">
        <f t="shared" si="1"/>
        <v>8.5663342249119612E-5</v>
      </c>
    </row>
    <row r="52" spans="1:15" ht="16.8" x14ac:dyDescent="0.4">
      <c r="A52" s="5" t="s">
        <v>25</v>
      </c>
      <c r="B52" s="39">
        <f t="shared" ref="B52:M52" si="2">SUM(B4:B51)</f>
        <v>82725.899999999994</v>
      </c>
      <c r="C52" s="39">
        <f t="shared" si="2"/>
        <v>73215.8</v>
      </c>
      <c r="D52" s="39">
        <f t="shared" si="2"/>
        <v>92873.1</v>
      </c>
      <c r="E52" s="39">
        <f t="shared" si="2"/>
        <v>96663.6</v>
      </c>
      <c r="F52" s="39">
        <f t="shared" si="2"/>
        <v>122035.1</v>
      </c>
      <c r="G52" s="39">
        <f t="shared" si="2"/>
        <v>127764.5</v>
      </c>
      <c r="H52" s="39">
        <f t="shared" si="2"/>
        <v>181362.5</v>
      </c>
      <c r="I52" s="39">
        <f t="shared" si="2"/>
        <v>117830.5</v>
      </c>
      <c r="J52" s="39">
        <f t="shared" si="2"/>
        <v>98760.1</v>
      </c>
      <c r="K52" s="39">
        <f t="shared" si="2"/>
        <v>77352.2</v>
      </c>
      <c r="L52" s="39">
        <f t="shared" si="2"/>
        <v>78506.899999999994</v>
      </c>
      <c r="M52" s="39">
        <f t="shared" si="2"/>
        <v>76638.3</v>
      </c>
      <c r="N52" s="9">
        <f t="shared" si="0"/>
        <v>1225728.5</v>
      </c>
      <c r="O52" s="10">
        <f t="shared" si="1"/>
        <v>1</v>
      </c>
    </row>
    <row r="53" spans="1:15" ht="16.8" x14ac:dyDescent="0.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6.8" x14ac:dyDescent="0.4">
      <c r="A56" s="4" t="s">
        <v>148</v>
      </c>
      <c r="B56" s="39">
        <f t="shared" ref="B56:D56" si="3">+B4+B7+B8+B9+B15+B16+B19+B20+B22+B23+B24+B27+B28+B33+B34+B35+B36+B37+B38+B39+B40+B41+B42+B43+B44+B45+B46+B47+B48+B49+B50+B5+B6</f>
        <v>67960</v>
      </c>
      <c r="C56" s="39">
        <f t="shared" si="3"/>
        <v>60095</v>
      </c>
      <c r="D56" s="39">
        <f t="shared" si="3"/>
        <v>75938</v>
      </c>
      <c r="E56" s="39">
        <f>+E4+E7+E8+E9+E15+E16+E19+E20+E22+E23+E24+E27+E28+E33+E34+E35+E36+E37+E38+E39+E40+E41+E42+E43+E44+E45+E46+E47+E48+E49+E50+E5+E6</f>
        <v>76960</v>
      </c>
      <c r="F56" s="39">
        <f t="shared" ref="F56:N56" si="4">+F4+F7+F8+F9+F15+F16+F19+F20+F22+F23+F24+F27+F28+F33+F34+F35+F36+F37+F38+F39+F40+F41+F42+F43+F44+F45+F46+F47+F48+F49+F50+F5+F6</f>
        <v>93522</v>
      </c>
      <c r="G56" s="39">
        <f t="shared" si="4"/>
        <v>97144</v>
      </c>
      <c r="H56" s="39">
        <f t="shared" si="4"/>
        <v>125262</v>
      </c>
      <c r="I56" s="39">
        <f>+I4+I7+I8+I9+I15+I16+I19+I20+I22+I23+I24+I27+I28+I33+I34+I35+I36+I37+I38+I39+I40+I41+I42+I43+I44+I45+I46+I47+I48+I49+I50+I5+I6+I18</f>
        <v>84381</v>
      </c>
      <c r="J56" s="39">
        <f t="shared" ref="J56:M56" si="5">+J4+J7+J8+J9+J15+J16+J19+J20+J22+J23+J24+J27+J28+J33+J34+J35+J36+J37+J38+J39+J40+J41+J42+J43+J44+J45+J46+J47+J48+J49+J50+J5+J6+J18</f>
        <v>74601</v>
      </c>
      <c r="K56" s="39">
        <f t="shared" si="5"/>
        <v>59457</v>
      </c>
      <c r="L56" s="39">
        <f t="shared" si="5"/>
        <v>62660</v>
      </c>
      <c r="M56" s="39">
        <f t="shared" si="5"/>
        <v>60862</v>
      </c>
      <c r="N56" s="39">
        <f t="shared" si="4"/>
        <v>938842</v>
      </c>
      <c r="O56" s="4"/>
    </row>
    <row r="57" spans="1:15" s="56" customFormat="1" ht="16.8" x14ac:dyDescent="0.4">
      <c r="A57" s="55" t="s">
        <v>149</v>
      </c>
      <c r="B57" s="50">
        <f>+B10+B11+B12+B13+B14+B17+B21+B25+B26+B29+B30+B31+B51</f>
        <v>14765.9</v>
      </c>
      <c r="C57" s="50">
        <f t="shared" ref="C57:N57" si="6">+C10+C11+C12+C13+C14+C17+C21+C25+C26+C29+C30+C31+C51</f>
        <v>13120.8</v>
      </c>
      <c r="D57" s="50">
        <f t="shared" si="6"/>
        <v>16650.099999999999</v>
      </c>
      <c r="E57" s="50">
        <f t="shared" si="6"/>
        <v>19703.599999999999</v>
      </c>
      <c r="F57" s="50">
        <f t="shared" si="6"/>
        <v>28513.1</v>
      </c>
      <c r="G57" s="50">
        <f t="shared" si="6"/>
        <v>30620.5</v>
      </c>
      <c r="H57" s="50">
        <f t="shared" si="6"/>
        <v>56100.5</v>
      </c>
      <c r="I57" s="50">
        <f t="shared" si="6"/>
        <v>33449.5</v>
      </c>
      <c r="J57" s="50">
        <f t="shared" si="6"/>
        <v>24159.1</v>
      </c>
      <c r="K57" s="50">
        <f t="shared" si="6"/>
        <v>17895.2</v>
      </c>
      <c r="L57" s="50">
        <f t="shared" si="6"/>
        <v>15846.9</v>
      </c>
      <c r="M57" s="50">
        <f t="shared" si="6"/>
        <v>15776.3</v>
      </c>
      <c r="N57" s="50">
        <f t="shared" si="6"/>
        <v>286601.5</v>
      </c>
      <c r="O57" s="50"/>
    </row>
    <row r="58" spans="1:15" s="46" customFormat="1" ht="17.399999999999999" thickBot="1" x14ac:dyDescent="0.45">
      <c r="A58" s="48" t="s">
        <v>143</v>
      </c>
      <c r="B58" s="47">
        <f t="shared" ref="B58:N58" si="7">SUM(B56:B57)</f>
        <v>82725.899999999994</v>
      </c>
      <c r="C58" s="47">
        <f t="shared" si="7"/>
        <v>73215.8</v>
      </c>
      <c r="D58" s="47">
        <f t="shared" si="7"/>
        <v>92588.1</v>
      </c>
      <c r="E58" s="47">
        <f t="shared" si="7"/>
        <v>96663.6</v>
      </c>
      <c r="F58" s="47">
        <f t="shared" si="7"/>
        <v>122035.1</v>
      </c>
      <c r="G58" s="47">
        <f t="shared" si="7"/>
        <v>127764.5</v>
      </c>
      <c r="H58" s="47">
        <f t="shared" si="7"/>
        <v>181362.5</v>
      </c>
      <c r="I58" s="47">
        <f t="shared" si="7"/>
        <v>117830.5</v>
      </c>
      <c r="J58" s="47">
        <f t="shared" si="7"/>
        <v>98760.1</v>
      </c>
      <c r="K58" s="47">
        <f t="shared" si="7"/>
        <v>77352.2</v>
      </c>
      <c r="L58" s="47">
        <f t="shared" si="7"/>
        <v>78506.899999999994</v>
      </c>
      <c r="M58" s="47">
        <f t="shared" si="7"/>
        <v>76638.3</v>
      </c>
      <c r="N58" s="47">
        <f t="shared" si="7"/>
        <v>1225443.5</v>
      </c>
      <c r="O58" s="48"/>
    </row>
    <row r="59" spans="1:15" ht="17.399999999999999" thickTop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/>
      <c r="B60" s="39">
        <f t="shared" ref="B60:M60" si="8">+B58-B52</f>
        <v>0</v>
      </c>
      <c r="C60" s="39">
        <f t="shared" si="8"/>
        <v>0</v>
      </c>
      <c r="D60" s="39">
        <f t="shared" si="8"/>
        <v>-285</v>
      </c>
      <c r="E60" s="39">
        <f t="shared" si="8"/>
        <v>0</v>
      </c>
      <c r="F60" s="39">
        <f t="shared" si="8"/>
        <v>0</v>
      </c>
      <c r="G60" s="39">
        <f t="shared" si="8"/>
        <v>0</v>
      </c>
      <c r="H60" s="39">
        <f t="shared" si="8"/>
        <v>0</v>
      </c>
      <c r="I60" s="39">
        <f t="shared" si="8"/>
        <v>0</v>
      </c>
      <c r="J60" s="39">
        <f t="shared" si="8"/>
        <v>0</v>
      </c>
      <c r="K60" s="39">
        <f t="shared" si="8"/>
        <v>0</v>
      </c>
      <c r="L60" s="39">
        <f t="shared" si="8"/>
        <v>0</v>
      </c>
      <c r="M60" s="39">
        <f t="shared" si="8"/>
        <v>0</v>
      </c>
      <c r="N60" s="4"/>
      <c r="O60" s="4"/>
    </row>
    <row r="65" spans="1:14" ht="16.2" x14ac:dyDescent="0.25">
      <c r="A65" s="60" t="s">
        <v>204</v>
      </c>
      <c r="B65" s="61">
        <f t="shared" ref="B65:N65" si="9">+B4+B7+B8+B9+B5+B6</f>
        <v>30588</v>
      </c>
      <c r="C65" s="61">
        <f t="shared" si="9"/>
        <v>26456</v>
      </c>
      <c r="D65" s="61">
        <f t="shared" si="9"/>
        <v>31682</v>
      </c>
      <c r="E65" s="61">
        <f t="shared" si="9"/>
        <v>31582</v>
      </c>
      <c r="F65" s="61">
        <f t="shared" si="9"/>
        <v>36092</v>
      </c>
      <c r="G65" s="61">
        <f t="shared" si="9"/>
        <v>33723</v>
      </c>
      <c r="H65" s="61">
        <f t="shared" si="9"/>
        <v>50794</v>
      </c>
      <c r="I65" s="61">
        <f t="shared" si="9"/>
        <v>17425</v>
      </c>
      <c r="J65" s="61">
        <f t="shared" si="9"/>
        <v>22848</v>
      </c>
      <c r="K65" s="61">
        <f t="shared" si="9"/>
        <v>24518</v>
      </c>
      <c r="L65" s="61">
        <f t="shared" si="9"/>
        <v>25778</v>
      </c>
      <c r="M65" s="61">
        <f t="shared" si="9"/>
        <v>26468</v>
      </c>
      <c r="N65" s="61">
        <f t="shared" si="9"/>
        <v>357954</v>
      </c>
    </row>
    <row r="66" spans="1:14" ht="16.2" x14ac:dyDescent="0.25">
      <c r="A66" s="60" t="s">
        <v>205</v>
      </c>
      <c r="B66" s="61">
        <f t="shared" ref="B66:N66" si="10">+B15+B16+B23+B24</f>
        <v>27144</v>
      </c>
      <c r="C66" s="61">
        <f t="shared" si="10"/>
        <v>25706</v>
      </c>
      <c r="D66" s="61">
        <f t="shared" si="10"/>
        <v>34388</v>
      </c>
      <c r="E66" s="61">
        <f t="shared" si="10"/>
        <v>34520</v>
      </c>
      <c r="F66" s="61">
        <f t="shared" si="10"/>
        <v>42698</v>
      </c>
      <c r="G66" s="61">
        <f t="shared" si="10"/>
        <v>47962</v>
      </c>
      <c r="H66" s="61">
        <f t="shared" si="10"/>
        <v>58642</v>
      </c>
      <c r="I66" s="61">
        <f t="shared" si="10"/>
        <v>52728</v>
      </c>
      <c r="J66" s="61">
        <f t="shared" si="10"/>
        <v>38952</v>
      </c>
      <c r="K66" s="61">
        <f t="shared" si="10"/>
        <v>23978</v>
      </c>
      <c r="L66" s="61">
        <f t="shared" si="10"/>
        <v>28112</v>
      </c>
      <c r="M66" s="61">
        <f t="shared" si="10"/>
        <v>27556</v>
      </c>
      <c r="N66" s="61">
        <f t="shared" si="10"/>
        <v>442386</v>
      </c>
    </row>
    <row r="67" spans="1:14" ht="16.2" x14ac:dyDescent="0.25">
      <c r="A67" s="60" t="s">
        <v>206</v>
      </c>
      <c r="B67" s="61">
        <f t="shared" ref="B67:N67" si="11">+B19+B20+B27+B28</f>
        <v>12</v>
      </c>
      <c r="C67" s="61">
        <f t="shared" si="11"/>
        <v>17</v>
      </c>
      <c r="D67" s="61">
        <f t="shared" si="11"/>
        <v>76</v>
      </c>
      <c r="E67" s="61">
        <f t="shared" si="11"/>
        <v>48</v>
      </c>
      <c r="F67" s="61">
        <f t="shared" si="11"/>
        <v>261</v>
      </c>
      <c r="G67" s="61">
        <f t="shared" si="11"/>
        <v>267</v>
      </c>
      <c r="H67" s="61">
        <f t="shared" si="11"/>
        <v>578</v>
      </c>
      <c r="I67" s="61">
        <f t="shared" si="11"/>
        <v>387</v>
      </c>
      <c r="J67" s="61">
        <f t="shared" si="11"/>
        <v>360</v>
      </c>
      <c r="K67" s="61">
        <f t="shared" si="11"/>
        <v>107</v>
      </c>
      <c r="L67" s="61">
        <f t="shared" si="11"/>
        <v>18</v>
      </c>
      <c r="M67" s="61">
        <f t="shared" si="11"/>
        <v>28</v>
      </c>
      <c r="N67" s="61">
        <f t="shared" si="11"/>
        <v>2159</v>
      </c>
    </row>
    <row r="68" spans="1:14" ht="16.2" x14ac:dyDescent="0.25">
      <c r="A68" s="60" t="s">
        <v>207</v>
      </c>
      <c r="B68" s="61">
        <f t="shared" ref="B68:H68" si="12">+B33+B34+B35+B36+B37+B38+B39+B40+B41+B42+B43+B44+B45+B46+B47+B48+B49+B50+B18+B22</f>
        <v>10216</v>
      </c>
      <c r="C68" s="61">
        <f t="shared" si="12"/>
        <v>7916</v>
      </c>
      <c r="D68" s="61">
        <f t="shared" si="12"/>
        <v>10077</v>
      </c>
      <c r="E68" s="61">
        <f t="shared" si="12"/>
        <v>10810</v>
      </c>
      <c r="F68" s="61">
        <f t="shared" si="12"/>
        <v>14471</v>
      </c>
      <c r="G68" s="61">
        <f t="shared" si="12"/>
        <v>15192</v>
      </c>
      <c r="H68" s="61">
        <f t="shared" si="12"/>
        <v>15248</v>
      </c>
      <c r="I68" s="61">
        <f>+I33+I34+I35+I36+I37+I38+I39+I40+I41+I42+I43+I44+I45+I46+I47+I48+I49+I50+I18+I22</f>
        <v>13841</v>
      </c>
      <c r="J68" s="61">
        <f t="shared" ref="J68:M68" si="13">+J33+J34+J35+J36+J37+J38+J39+J40+J41+J42+J43+J44+J45+J46+J47+J48+J49+J50+J18+J22</f>
        <v>12441</v>
      </c>
      <c r="K68" s="61">
        <f t="shared" si="13"/>
        <v>10854</v>
      </c>
      <c r="L68" s="61">
        <f t="shared" si="13"/>
        <v>8752</v>
      </c>
      <c r="M68" s="61">
        <f t="shared" si="13"/>
        <v>6810</v>
      </c>
      <c r="N68" s="61">
        <f t="shared" ref="N68" si="14">+N33+N34+N35+N36+N37+N38+N39+N40+N41+N42+N43+N44+N45+N46+N47+N48+N49+N50</f>
        <v>136112</v>
      </c>
    </row>
    <row r="69" spans="1:14" ht="16.2" x14ac:dyDescent="0.25">
      <c r="A69" s="60" t="s">
        <v>208</v>
      </c>
      <c r="B69" s="61">
        <f t="shared" ref="B69:N69" si="15">+B12+B29</f>
        <v>8199</v>
      </c>
      <c r="C69" s="61">
        <f t="shared" si="15"/>
        <v>6567</v>
      </c>
      <c r="D69" s="61">
        <f t="shared" si="15"/>
        <v>7851</v>
      </c>
      <c r="E69" s="61">
        <f t="shared" si="15"/>
        <v>9578</v>
      </c>
      <c r="F69" s="61">
        <f t="shared" si="15"/>
        <v>12973</v>
      </c>
      <c r="G69" s="61">
        <f t="shared" si="15"/>
        <v>10926</v>
      </c>
      <c r="H69" s="61">
        <f t="shared" si="15"/>
        <v>27109</v>
      </c>
      <c r="I69" s="61">
        <f t="shared" si="15"/>
        <v>6969</v>
      </c>
      <c r="J69" s="61">
        <f t="shared" si="15"/>
        <v>7223</v>
      </c>
      <c r="K69" s="61">
        <f t="shared" si="15"/>
        <v>8400</v>
      </c>
      <c r="L69" s="61">
        <f t="shared" si="15"/>
        <v>7664</v>
      </c>
      <c r="M69" s="61">
        <f t="shared" si="15"/>
        <v>7704</v>
      </c>
      <c r="N69" s="61">
        <f t="shared" si="15"/>
        <v>121163</v>
      </c>
    </row>
    <row r="70" spans="1:14" ht="16.2" x14ac:dyDescent="0.25">
      <c r="A70" s="60" t="s">
        <v>209</v>
      </c>
      <c r="B70" s="61">
        <f t="shared" ref="B70:N70" si="16">+B13+B14+B25+B26</f>
        <v>6281</v>
      </c>
      <c r="C70" s="61">
        <f t="shared" si="16"/>
        <v>5826</v>
      </c>
      <c r="D70" s="61">
        <f t="shared" si="16"/>
        <v>8232</v>
      </c>
      <c r="E70" s="61">
        <f t="shared" si="16"/>
        <v>8960</v>
      </c>
      <c r="F70" s="61">
        <f t="shared" si="16"/>
        <v>13982</v>
      </c>
      <c r="G70" s="61">
        <f t="shared" si="16"/>
        <v>17933.5</v>
      </c>
      <c r="H70" s="61">
        <f t="shared" si="16"/>
        <v>25955</v>
      </c>
      <c r="I70" s="61">
        <f t="shared" si="16"/>
        <v>25968.5</v>
      </c>
      <c r="J70" s="61">
        <f t="shared" si="16"/>
        <v>15978.5</v>
      </c>
      <c r="K70" s="61">
        <f t="shared" si="16"/>
        <v>9241</v>
      </c>
      <c r="L70" s="61">
        <f t="shared" si="16"/>
        <v>7947</v>
      </c>
      <c r="M70" s="61">
        <f t="shared" si="16"/>
        <v>7873</v>
      </c>
      <c r="N70" s="61">
        <f t="shared" si="16"/>
        <v>154177.5</v>
      </c>
    </row>
    <row r="71" spans="1:14" ht="16.2" x14ac:dyDescent="0.25">
      <c r="A71" s="60" t="s">
        <v>210</v>
      </c>
      <c r="B71" s="61">
        <f t="shared" ref="B71:N71" si="17">+B10+B11+B30+B31</f>
        <v>170</v>
      </c>
      <c r="C71" s="61">
        <f t="shared" si="17"/>
        <v>118</v>
      </c>
      <c r="D71" s="61">
        <f t="shared" si="17"/>
        <v>319</v>
      </c>
      <c r="E71" s="61">
        <f t="shared" si="17"/>
        <v>328</v>
      </c>
      <c r="F71" s="61">
        <f t="shared" si="17"/>
        <v>1430</v>
      </c>
      <c r="G71" s="61">
        <f t="shared" si="17"/>
        <v>1220</v>
      </c>
      <c r="H71" s="61">
        <f t="shared" si="17"/>
        <v>1796.5</v>
      </c>
      <c r="I71" s="61">
        <f t="shared" si="17"/>
        <v>0</v>
      </c>
      <c r="J71" s="61">
        <f t="shared" si="17"/>
        <v>0</v>
      </c>
      <c r="K71" s="61">
        <f t="shared" si="17"/>
        <v>0</v>
      </c>
      <c r="L71" s="61">
        <f t="shared" si="17"/>
        <v>0</v>
      </c>
      <c r="M71" s="61">
        <f t="shared" si="17"/>
        <v>0</v>
      </c>
      <c r="N71" s="61">
        <f t="shared" si="17"/>
        <v>5381.5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18" sqref="O18"/>
    </sheetView>
  </sheetViews>
  <sheetFormatPr defaultColWidth="8.33203125" defaultRowHeight="15" x14ac:dyDescent="0.25"/>
  <cols>
    <col min="1" max="1" width="29.08203125" bestFit="1" customWidth="1"/>
    <col min="2" max="7" width="9.33203125" bestFit="1" customWidth="1"/>
    <col min="8" max="8" width="9.58203125" customWidth="1"/>
    <col min="9" max="10" width="9.4140625" bestFit="1" customWidth="1"/>
    <col min="11" max="11" width="9.4140625" customWidth="1"/>
    <col min="12" max="12" width="9.25" customWidth="1"/>
    <col min="13" max="13" width="9.08203125" bestFit="1" customWidth="1"/>
    <col min="14" max="14" width="10.75" bestFit="1" customWidth="1"/>
  </cols>
  <sheetData>
    <row r="1" spans="1:15" ht="18.600000000000001" x14ac:dyDescent="0.45">
      <c r="A1" s="3" t="s">
        <v>228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223</v>
      </c>
      <c r="B4" s="43">
        <v>500</v>
      </c>
      <c r="C4" s="43">
        <v>600</v>
      </c>
      <c r="D4" s="43"/>
      <c r="E4" s="43">
        <v>200</v>
      </c>
      <c r="F4" s="43">
        <v>360</v>
      </c>
      <c r="G4" s="43">
        <v>1080</v>
      </c>
      <c r="H4" s="43">
        <v>600</v>
      </c>
      <c r="I4" s="43">
        <v>120</v>
      </c>
      <c r="J4" s="43"/>
      <c r="K4" s="43">
        <v>700</v>
      </c>
      <c r="L4" s="43">
        <v>400</v>
      </c>
      <c r="M4" s="43">
        <v>200</v>
      </c>
      <c r="N4" s="43">
        <f t="shared" ref="N4:N52" si="0">SUM(B4:M4)</f>
        <v>4760</v>
      </c>
      <c r="O4" s="44">
        <f>N4/$N$52</f>
        <v>4.1010569354214491E-3</v>
      </c>
    </row>
    <row r="5" spans="1:15" s="54" customFormat="1" ht="16.8" x14ac:dyDescent="0.4">
      <c r="A5" s="42" t="s">
        <v>222</v>
      </c>
      <c r="B5" s="43">
        <v>320</v>
      </c>
      <c r="C5" s="43">
        <v>240</v>
      </c>
      <c r="D5" s="43"/>
      <c r="E5" s="43">
        <v>80</v>
      </c>
      <c r="F5" s="43">
        <v>400</v>
      </c>
      <c r="G5" s="43">
        <v>300</v>
      </c>
      <c r="H5" s="43">
        <v>400</v>
      </c>
      <c r="I5" s="43">
        <v>200</v>
      </c>
      <c r="J5" s="43"/>
      <c r="K5" s="43">
        <v>400</v>
      </c>
      <c r="L5" s="43"/>
      <c r="M5" s="43">
        <v>160</v>
      </c>
      <c r="N5" s="43">
        <f t="shared" si="0"/>
        <v>2500</v>
      </c>
      <c r="O5" s="44">
        <f t="shared" ref="O5:O52" si="1">N5/$N$52</f>
        <v>2.1539164576793329E-3</v>
      </c>
    </row>
    <row r="6" spans="1:15" s="54" customFormat="1" ht="16.8" x14ac:dyDescent="0.4">
      <c r="A6" s="42" t="s">
        <v>214</v>
      </c>
      <c r="B6" s="43">
        <v>16490</v>
      </c>
      <c r="C6" s="43">
        <v>7480</v>
      </c>
      <c r="D6" s="43"/>
      <c r="E6" s="43">
        <v>13430</v>
      </c>
      <c r="F6" s="43">
        <v>17340</v>
      </c>
      <c r="G6" s="43">
        <v>17000</v>
      </c>
      <c r="H6" s="43">
        <v>12750</v>
      </c>
      <c r="I6" s="43">
        <v>15640</v>
      </c>
      <c r="J6" s="43">
        <v>12580</v>
      </c>
      <c r="K6" s="43">
        <v>14110</v>
      </c>
      <c r="L6" s="43">
        <v>12240</v>
      </c>
      <c r="M6" s="43">
        <v>16320</v>
      </c>
      <c r="N6" s="43">
        <f t="shared" si="0"/>
        <v>155380</v>
      </c>
      <c r="O6" s="44">
        <f t="shared" si="1"/>
        <v>0.13387021567768589</v>
      </c>
    </row>
    <row r="7" spans="1:15" s="54" customFormat="1" ht="16.8" x14ac:dyDescent="0.4">
      <c r="A7" s="42" t="s">
        <v>110</v>
      </c>
      <c r="B7" s="51"/>
      <c r="C7" s="51"/>
      <c r="D7" s="51"/>
      <c r="E7" s="51"/>
      <c r="F7" s="51">
        <v>102</v>
      </c>
      <c r="G7" s="51"/>
      <c r="H7" s="51"/>
      <c r="I7" s="51">
        <v>102</v>
      </c>
      <c r="J7" s="51"/>
      <c r="K7" s="51"/>
      <c r="L7" s="51"/>
      <c r="M7" s="51"/>
      <c r="N7" s="43">
        <f t="shared" si="0"/>
        <v>204</v>
      </c>
      <c r="O7" s="44">
        <f t="shared" si="1"/>
        <v>1.7575958294663353E-4</v>
      </c>
    </row>
    <row r="8" spans="1:15" s="54" customFormat="1" ht="16.8" x14ac:dyDescent="0.4">
      <c r="A8" s="42" t="s">
        <v>215</v>
      </c>
      <c r="B8" s="51">
        <v>12376</v>
      </c>
      <c r="C8" s="51">
        <v>8976</v>
      </c>
      <c r="D8" s="51"/>
      <c r="E8" s="51">
        <v>13328</v>
      </c>
      <c r="F8" s="51">
        <v>16728</v>
      </c>
      <c r="G8" s="51">
        <v>15504</v>
      </c>
      <c r="H8" s="51">
        <v>15368</v>
      </c>
      <c r="I8" s="51">
        <v>12784</v>
      </c>
      <c r="J8" s="51">
        <v>15232</v>
      </c>
      <c r="K8" s="51">
        <v>14416</v>
      </c>
      <c r="L8" s="51">
        <v>11832</v>
      </c>
      <c r="M8" s="51">
        <v>13736</v>
      </c>
      <c r="N8" s="43">
        <f t="shared" si="0"/>
        <v>150280</v>
      </c>
      <c r="O8" s="44">
        <f t="shared" si="1"/>
        <v>0.12947622610402004</v>
      </c>
    </row>
    <row r="9" spans="1:15" s="54" customFormat="1" ht="16.8" x14ac:dyDescent="0.4">
      <c r="A9" s="42" t="s">
        <v>216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43">
        <f t="shared" si="0"/>
        <v>0</v>
      </c>
      <c r="O9" s="44">
        <f t="shared" si="1"/>
        <v>0</v>
      </c>
    </row>
    <row r="10" spans="1:15" s="54" customFormat="1" ht="16.8" x14ac:dyDescent="0.4">
      <c r="A10" s="42" t="s">
        <v>156</v>
      </c>
      <c r="B10" s="52"/>
      <c r="C10" s="52"/>
      <c r="D10" s="52"/>
      <c r="E10" s="52"/>
      <c r="F10" s="52">
        <v>785</v>
      </c>
      <c r="G10" s="52">
        <v>925</v>
      </c>
      <c r="H10" s="52">
        <v>1635</v>
      </c>
      <c r="I10" s="52">
        <v>1590</v>
      </c>
      <c r="J10" s="52">
        <v>790</v>
      </c>
      <c r="K10" s="52"/>
      <c r="L10" s="52"/>
      <c r="M10" s="52"/>
      <c r="N10" s="43">
        <f t="shared" si="0"/>
        <v>5725</v>
      </c>
      <c r="O10" s="44">
        <f t="shared" si="1"/>
        <v>4.9324686880856715E-3</v>
      </c>
    </row>
    <row r="11" spans="1:15" s="54" customFormat="1" ht="16.8" x14ac:dyDescent="0.4">
      <c r="A11" s="42" t="s">
        <v>184</v>
      </c>
      <c r="B11" s="52">
        <v>124</v>
      </c>
      <c r="C11" s="52">
        <v>108</v>
      </c>
      <c r="D11" s="52">
        <v>228</v>
      </c>
      <c r="E11" s="52">
        <v>500</v>
      </c>
      <c r="F11" s="52">
        <v>264</v>
      </c>
      <c r="G11" s="52"/>
      <c r="H11" s="52"/>
      <c r="I11" s="52"/>
      <c r="J11" s="52"/>
      <c r="K11" s="52">
        <v>364</v>
      </c>
      <c r="L11" s="52">
        <v>132</v>
      </c>
      <c r="M11" s="52">
        <v>52</v>
      </c>
      <c r="N11" s="52">
        <f t="shared" si="0"/>
        <v>1772</v>
      </c>
      <c r="O11" s="44">
        <f t="shared" si="1"/>
        <v>1.5266959852031109E-3</v>
      </c>
    </row>
    <row r="12" spans="1:15" s="54" customFormat="1" ht="16.8" x14ac:dyDescent="0.4">
      <c r="A12" s="42" t="s">
        <v>111</v>
      </c>
      <c r="B12" s="52">
        <v>5695</v>
      </c>
      <c r="C12" s="52">
        <v>6231</v>
      </c>
      <c r="D12" s="52">
        <v>9380</v>
      </c>
      <c r="E12" s="52">
        <v>7236</v>
      </c>
      <c r="F12" s="52">
        <v>6499</v>
      </c>
      <c r="G12" s="52">
        <v>7571</v>
      </c>
      <c r="H12" s="52">
        <v>6767</v>
      </c>
      <c r="I12" s="52">
        <v>7102</v>
      </c>
      <c r="J12" s="52">
        <v>6633</v>
      </c>
      <c r="K12" s="52">
        <v>6164</v>
      </c>
      <c r="L12" s="52">
        <v>4891</v>
      </c>
      <c r="M12" s="52">
        <v>5226</v>
      </c>
      <c r="N12" s="52">
        <f t="shared" si="0"/>
        <v>79395</v>
      </c>
      <c r="O12" s="44">
        <f t="shared" si="1"/>
        <v>6.840407886298025E-2</v>
      </c>
    </row>
    <row r="13" spans="1:15" s="54" customFormat="1" ht="16.8" x14ac:dyDescent="0.4">
      <c r="A13" s="42" t="s">
        <v>157</v>
      </c>
      <c r="B13" s="52"/>
      <c r="C13" s="52"/>
      <c r="D13" s="52"/>
      <c r="E13" s="52"/>
      <c r="F13" s="52">
        <v>5612</v>
      </c>
      <c r="G13" s="52">
        <v>11776</v>
      </c>
      <c r="H13" s="52">
        <v>17632</v>
      </c>
      <c r="I13" s="52">
        <v>17064</v>
      </c>
      <c r="J13" s="52">
        <v>12244</v>
      </c>
      <c r="K13" s="52"/>
      <c r="L13" s="52"/>
      <c r="M13" s="52"/>
      <c r="N13" s="52">
        <f t="shared" si="0"/>
        <v>64328</v>
      </c>
      <c r="O13" s="44">
        <f t="shared" si="1"/>
        <v>5.5422855155838446E-2</v>
      </c>
    </row>
    <row r="14" spans="1:15" s="54" customFormat="1" ht="16.8" x14ac:dyDescent="0.4">
      <c r="A14" s="42" t="s">
        <v>180</v>
      </c>
      <c r="B14" s="52">
        <v>4803</v>
      </c>
      <c r="C14" s="52">
        <v>4794</v>
      </c>
      <c r="D14" s="52">
        <v>7239</v>
      </c>
      <c r="E14" s="52">
        <v>7365</v>
      </c>
      <c r="F14" s="52">
        <v>4029</v>
      </c>
      <c r="G14" s="52"/>
      <c r="H14" s="52"/>
      <c r="I14" s="52"/>
      <c r="J14" s="52"/>
      <c r="K14" s="52">
        <v>6099</v>
      </c>
      <c r="L14" s="52">
        <v>5703</v>
      </c>
      <c r="M14" s="52">
        <v>6522</v>
      </c>
      <c r="N14" s="52">
        <f t="shared" si="0"/>
        <v>46554</v>
      </c>
      <c r="O14" s="44">
        <f t="shared" si="1"/>
        <v>4.0109370708321462E-2</v>
      </c>
    </row>
    <row r="15" spans="1:15" s="54" customFormat="1" ht="16.8" x14ac:dyDescent="0.4">
      <c r="A15" s="42" t="s">
        <v>113</v>
      </c>
      <c r="B15" s="52"/>
      <c r="C15" s="52"/>
      <c r="D15" s="52"/>
      <c r="E15" s="52"/>
      <c r="F15" s="52">
        <v>15000</v>
      </c>
      <c r="G15" s="52">
        <v>36144</v>
      </c>
      <c r="H15" s="52">
        <v>45600</v>
      </c>
      <c r="I15" s="52">
        <v>43776</v>
      </c>
      <c r="J15" s="52">
        <v>35172</v>
      </c>
      <c r="K15" s="52"/>
      <c r="L15" s="52"/>
      <c r="M15" s="52"/>
      <c r="N15" s="52">
        <f t="shared" si="0"/>
        <v>175692</v>
      </c>
      <c r="O15" s="44">
        <f t="shared" si="1"/>
        <v>0.15137035611303892</v>
      </c>
    </row>
    <row r="16" spans="1:15" s="54" customFormat="1" ht="16.8" x14ac:dyDescent="0.4">
      <c r="A16" s="42" t="s">
        <v>179</v>
      </c>
      <c r="B16" s="52">
        <v>21170</v>
      </c>
      <c r="C16" s="52">
        <v>21960</v>
      </c>
      <c r="D16" s="52"/>
      <c r="E16" s="52">
        <v>23690</v>
      </c>
      <c r="F16" s="52">
        <v>17040</v>
      </c>
      <c r="G16" s="52"/>
      <c r="H16" s="52"/>
      <c r="I16" s="52"/>
      <c r="J16" s="52"/>
      <c r="K16" s="52">
        <v>23320</v>
      </c>
      <c r="L16" s="52">
        <v>23380</v>
      </c>
      <c r="M16" s="52">
        <v>26440</v>
      </c>
      <c r="N16" s="52">
        <f t="shared" si="0"/>
        <v>157000</v>
      </c>
      <c r="O16" s="44">
        <f t="shared" si="1"/>
        <v>0.13526595354226209</v>
      </c>
    </row>
    <row r="17" spans="1:15" s="54" customFormat="1" ht="16.8" x14ac:dyDescent="0.4">
      <c r="A17" s="42" t="s">
        <v>114</v>
      </c>
      <c r="B17" s="52"/>
      <c r="C17" s="52">
        <v>740</v>
      </c>
      <c r="D17" s="52">
        <v>360</v>
      </c>
      <c r="E17" s="52">
        <v>120</v>
      </c>
      <c r="F17" s="52">
        <f>240+500</f>
        <v>740</v>
      </c>
      <c r="G17" s="52">
        <v>980</v>
      </c>
      <c r="H17" s="52">
        <v>120</v>
      </c>
      <c r="I17" s="52">
        <v>1240</v>
      </c>
      <c r="J17" s="52">
        <f>240+1200</f>
        <v>1440</v>
      </c>
      <c r="K17" s="52">
        <v>240</v>
      </c>
      <c r="L17" s="52">
        <v>500</v>
      </c>
      <c r="M17" s="52">
        <v>1360</v>
      </c>
      <c r="N17" s="52">
        <f t="shared" si="0"/>
        <v>7840</v>
      </c>
      <c r="O17" s="44">
        <f t="shared" si="1"/>
        <v>6.7546820112823871E-3</v>
      </c>
    </row>
    <row r="18" spans="1:15" s="54" customFormat="1" ht="16.8" x14ac:dyDescent="0.4">
      <c r="A18" s="42" t="s">
        <v>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>
        <f t="shared" si="0"/>
        <v>0</v>
      </c>
      <c r="O18" s="44">
        <f t="shared" si="1"/>
        <v>0</v>
      </c>
    </row>
    <row r="19" spans="1:15" s="54" customFormat="1" ht="16.8" x14ac:dyDescent="0.4">
      <c r="A19" s="42" t="s">
        <v>158</v>
      </c>
      <c r="B19" s="52"/>
      <c r="C19" s="52"/>
      <c r="D19" s="52"/>
      <c r="E19" s="52"/>
      <c r="F19" s="52">
        <v>168</v>
      </c>
      <c r="G19" s="52">
        <v>384</v>
      </c>
      <c r="H19" s="52">
        <v>528</v>
      </c>
      <c r="I19" s="52">
        <v>536</v>
      </c>
      <c r="J19" s="52">
        <v>248</v>
      </c>
      <c r="K19" s="52"/>
      <c r="L19" s="52"/>
      <c r="M19" s="52"/>
      <c r="N19" s="52">
        <f t="shared" si="0"/>
        <v>1864</v>
      </c>
      <c r="O19" s="44">
        <f t="shared" si="1"/>
        <v>1.6059601108457105E-3</v>
      </c>
    </row>
    <row r="20" spans="1:15" s="54" customFormat="1" ht="16.8" x14ac:dyDescent="0.4">
      <c r="A20" s="42" t="s">
        <v>185</v>
      </c>
      <c r="B20" s="52">
        <v>6</v>
      </c>
      <c r="C20" s="52">
        <v>66</v>
      </c>
      <c r="D20" s="52">
        <v>12</v>
      </c>
      <c r="E20" s="52">
        <v>102</v>
      </c>
      <c r="F20" s="52">
        <v>66</v>
      </c>
      <c r="G20" s="52"/>
      <c r="H20" s="52"/>
      <c r="I20" s="52"/>
      <c r="J20" s="52"/>
      <c r="K20" s="52">
        <v>66</v>
      </c>
      <c r="L20" s="52"/>
      <c r="M20" s="52">
        <v>12</v>
      </c>
      <c r="N20" s="52">
        <f t="shared" si="0"/>
        <v>330</v>
      </c>
      <c r="O20" s="44">
        <f t="shared" si="1"/>
        <v>2.8431697241367189E-4</v>
      </c>
    </row>
    <row r="21" spans="1:15" s="54" customFormat="1" ht="16.8" x14ac:dyDescent="0.4">
      <c r="A21" s="42" t="s">
        <v>10</v>
      </c>
      <c r="B21" s="52">
        <v>99</v>
      </c>
      <c r="C21" s="52">
        <v>99</v>
      </c>
      <c r="D21" s="52">
        <v>121</v>
      </c>
      <c r="E21" s="52">
        <v>82.5</v>
      </c>
      <c r="F21" s="52">
        <v>110</v>
      </c>
      <c r="G21" s="52">
        <v>88</v>
      </c>
      <c r="H21" s="52"/>
      <c r="I21" s="52">
        <v>16.5</v>
      </c>
      <c r="J21" s="52">
        <v>104.5</v>
      </c>
      <c r="K21" s="52">
        <v>115.5</v>
      </c>
      <c r="L21" s="52">
        <v>104.5</v>
      </c>
      <c r="M21" s="52">
        <v>71.5</v>
      </c>
      <c r="N21" s="52">
        <f>SUM(B21:M21)</f>
        <v>1012</v>
      </c>
      <c r="O21" s="44">
        <f t="shared" si="1"/>
        <v>8.7190538206859385E-4</v>
      </c>
    </row>
    <row r="22" spans="1:15" s="54" customFormat="1" ht="16.8" x14ac:dyDescent="0.4">
      <c r="A22" s="42" t="s">
        <v>11</v>
      </c>
      <c r="B22" s="52">
        <v>6</v>
      </c>
      <c r="C22" s="52"/>
      <c r="D22" s="52"/>
      <c r="E22" s="52"/>
      <c r="F22" s="52">
        <v>36</v>
      </c>
      <c r="G22" s="52">
        <v>18</v>
      </c>
      <c r="H22" s="52"/>
      <c r="I22" s="52">
        <v>78</v>
      </c>
      <c r="J22" s="52">
        <v>12</v>
      </c>
      <c r="K22" s="52">
        <v>18</v>
      </c>
      <c r="L22" s="52">
        <v>120</v>
      </c>
      <c r="M22" s="52"/>
      <c r="N22" s="52">
        <f t="shared" si="0"/>
        <v>288</v>
      </c>
      <c r="O22" s="44">
        <f t="shared" si="1"/>
        <v>2.4813117592465913E-4</v>
      </c>
    </row>
    <row r="23" spans="1:15" s="54" customFormat="1" ht="16.8" x14ac:dyDescent="0.4">
      <c r="A23" s="42" t="s">
        <v>159</v>
      </c>
      <c r="B23" s="52"/>
      <c r="C23" s="52"/>
      <c r="D23" s="52"/>
      <c r="E23" s="52"/>
      <c r="F23" s="52">
        <v>4580</v>
      </c>
      <c r="G23" s="52">
        <v>11220</v>
      </c>
      <c r="H23" s="52">
        <v>13610</v>
      </c>
      <c r="I23" s="52">
        <v>12330</v>
      </c>
      <c r="J23" s="52">
        <v>10070</v>
      </c>
      <c r="K23" s="52"/>
      <c r="L23" s="52"/>
      <c r="M23" s="52"/>
      <c r="N23" s="52">
        <f>SUM(B23:M23)</f>
        <v>51810</v>
      </c>
      <c r="O23" s="44">
        <f t="shared" si="1"/>
        <v>4.4637764668946492E-2</v>
      </c>
    </row>
    <row r="24" spans="1:15" s="54" customFormat="1" ht="16.8" x14ac:dyDescent="0.4">
      <c r="A24" s="42" t="s">
        <v>181</v>
      </c>
      <c r="B24" s="52">
        <v>5776</v>
      </c>
      <c r="C24" s="52">
        <v>6024</v>
      </c>
      <c r="D24" s="52"/>
      <c r="E24" s="52">
        <v>6808</v>
      </c>
      <c r="F24" s="52">
        <v>5216</v>
      </c>
      <c r="G24" s="52"/>
      <c r="H24" s="52"/>
      <c r="I24" s="52"/>
      <c r="J24" s="52"/>
      <c r="K24" s="52">
        <v>6888</v>
      </c>
      <c r="L24" s="52">
        <v>6384</v>
      </c>
      <c r="M24" s="52">
        <v>6352</v>
      </c>
      <c r="N24" s="52">
        <f>SUM(B24:M24)</f>
        <v>43448</v>
      </c>
      <c r="O24" s="44">
        <f t="shared" si="1"/>
        <v>3.7433344901300659E-2</v>
      </c>
    </row>
    <row r="25" spans="1:15" s="54" customFormat="1" ht="16.8" x14ac:dyDescent="0.4">
      <c r="A25" s="42" t="s">
        <v>211</v>
      </c>
      <c r="B25" s="52"/>
      <c r="C25" s="52"/>
      <c r="D25" s="52"/>
      <c r="E25" s="52"/>
      <c r="F25" s="52">
        <v>1650</v>
      </c>
      <c r="G25" s="52">
        <v>3710</v>
      </c>
      <c r="H25" s="52">
        <v>7035</v>
      </c>
      <c r="I25" s="52">
        <v>6420</v>
      </c>
      <c r="J25" s="52">
        <v>3665</v>
      </c>
      <c r="K25" s="52"/>
      <c r="L25" s="52"/>
      <c r="M25" s="52"/>
      <c r="N25" s="52">
        <f>SUM(B25:M25)</f>
        <v>22480</v>
      </c>
      <c r="O25" s="44">
        <f t="shared" si="1"/>
        <v>1.936801678745256E-2</v>
      </c>
    </row>
    <row r="26" spans="1:15" s="54" customFormat="1" ht="16.8" x14ac:dyDescent="0.4">
      <c r="A26" s="42" t="s">
        <v>212</v>
      </c>
      <c r="B26" s="52">
        <v>1076</v>
      </c>
      <c r="C26" s="52">
        <v>1380</v>
      </c>
      <c r="D26" s="52">
        <v>1694</v>
      </c>
      <c r="E26" s="52">
        <v>2280</v>
      </c>
      <c r="F26" s="52">
        <v>1198</v>
      </c>
      <c r="G26" s="52"/>
      <c r="H26" s="52"/>
      <c r="I26" s="52"/>
      <c r="J26" s="52"/>
      <c r="K26" s="52">
        <v>1696</v>
      </c>
      <c r="L26" s="52">
        <v>1474</v>
      </c>
      <c r="M26" s="52">
        <v>1610</v>
      </c>
      <c r="N26" s="52">
        <f>SUM(B26:M26)</f>
        <v>12408</v>
      </c>
      <c r="O26" s="44">
        <f t="shared" si="1"/>
        <v>1.0690318162754064E-2</v>
      </c>
    </row>
    <row r="27" spans="1:15" s="54" customFormat="1" ht="16.8" x14ac:dyDescent="0.4">
      <c r="A27" s="42" t="s">
        <v>186</v>
      </c>
      <c r="B27" s="52"/>
      <c r="C27" s="52"/>
      <c r="D27" s="52"/>
      <c r="E27" s="52"/>
      <c r="F27" s="52">
        <v>21</v>
      </c>
      <c r="G27" s="52">
        <v>42</v>
      </c>
      <c r="H27" s="52">
        <v>42</v>
      </c>
      <c r="I27" s="52">
        <v>56</v>
      </c>
      <c r="J27" s="52">
        <v>63</v>
      </c>
      <c r="K27" s="52"/>
      <c r="L27" s="52"/>
      <c r="M27" s="52"/>
      <c r="N27" s="52">
        <f t="shared" si="0"/>
        <v>224</v>
      </c>
      <c r="O27" s="44">
        <f t="shared" si="1"/>
        <v>1.9299091460806822E-4</v>
      </c>
    </row>
    <row r="28" spans="1:15" s="54" customFormat="1" ht="16.8" x14ac:dyDescent="0.4">
      <c r="A28" s="42" t="s">
        <v>182</v>
      </c>
      <c r="B28" s="52"/>
      <c r="C28" s="52"/>
      <c r="D28" s="52"/>
      <c r="E28" s="52">
        <v>5</v>
      </c>
      <c r="F28" s="52">
        <v>10</v>
      </c>
      <c r="G28" s="52"/>
      <c r="H28" s="52"/>
      <c r="I28" s="52"/>
      <c r="J28" s="52"/>
      <c r="K28" s="52"/>
      <c r="L28" s="52"/>
      <c r="M28" s="52"/>
      <c r="N28" s="52">
        <f t="shared" si="0"/>
        <v>15</v>
      </c>
      <c r="O28" s="44">
        <f t="shared" si="1"/>
        <v>1.2923498746075995E-5</v>
      </c>
    </row>
    <row r="29" spans="1:15" s="54" customFormat="1" ht="16.8" x14ac:dyDescent="0.4">
      <c r="A29" s="42" t="s">
        <v>14</v>
      </c>
      <c r="B29" s="52">
        <v>2000</v>
      </c>
      <c r="C29" s="52">
        <v>3200</v>
      </c>
      <c r="D29" s="52">
        <v>4440</v>
      </c>
      <c r="E29" s="52">
        <v>3240</v>
      </c>
      <c r="F29" s="52">
        <v>3880</v>
      </c>
      <c r="G29" s="52">
        <v>4080</v>
      </c>
      <c r="H29" s="52">
        <v>4640</v>
      </c>
      <c r="I29" s="52">
        <v>4040</v>
      </c>
      <c r="J29" s="52">
        <v>3360</v>
      </c>
      <c r="K29" s="52">
        <v>3360</v>
      </c>
      <c r="L29" s="52">
        <v>2800</v>
      </c>
      <c r="M29" s="52">
        <v>2800</v>
      </c>
      <c r="N29" s="52">
        <f>SUM(B29:M29)</f>
        <v>41840</v>
      </c>
      <c r="O29" s="44">
        <f t="shared" si="1"/>
        <v>3.604794583572131E-2</v>
      </c>
    </row>
    <row r="30" spans="1:15" s="54" customFormat="1" ht="16.8" x14ac:dyDescent="0.4">
      <c r="A30" s="42" t="s">
        <v>162</v>
      </c>
      <c r="B30" s="52"/>
      <c r="C30" s="52"/>
      <c r="D30" s="52"/>
      <c r="E30" s="52"/>
      <c r="F30" s="52">
        <v>189</v>
      </c>
      <c r="G30" s="52">
        <v>192.5</v>
      </c>
      <c r="H30" s="52">
        <v>525</v>
      </c>
      <c r="I30" s="52">
        <v>518</v>
      </c>
      <c r="J30" s="52">
        <v>213.5</v>
      </c>
      <c r="K30" s="52"/>
      <c r="L30" s="52"/>
      <c r="M30" s="52"/>
      <c r="N30" s="52">
        <f t="shared" si="0"/>
        <v>1638</v>
      </c>
      <c r="O30" s="44">
        <f t="shared" si="1"/>
        <v>1.4112460630714987E-3</v>
      </c>
    </row>
    <row r="31" spans="1:15" s="54" customFormat="1" ht="16.8" x14ac:dyDescent="0.4">
      <c r="A31" s="42" t="s">
        <v>183</v>
      </c>
      <c r="B31" s="52">
        <v>9</v>
      </c>
      <c r="C31" s="52">
        <v>39</v>
      </c>
      <c r="D31" s="52">
        <v>36</v>
      </c>
      <c r="E31" s="52">
        <v>81</v>
      </c>
      <c r="F31" s="52">
        <v>45</v>
      </c>
      <c r="G31" s="52"/>
      <c r="H31" s="52"/>
      <c r="I31" s="52"/>
      <c r="J31" s="52"/>
      <c r="K31" s="52">
        <v>60</v>
      </c>
      <c r="L31" s="52">
        <v>21</v>
      </c>
      <c r="M31" s="52">
        <v>12</v>
      </c>
      <c r="N31" s="52">
        <f t="shared" si="0"/>
        <v>303</v>
      </c>
      <c r="O31" s="44">
        <f t="shared" si="1"/>
        <v>2.6105467467073512E-4</v>
      </c>
    </row>
    <row r="32" spans="1:15" s="54" customFormat="1" ht="16.8" x14ac:dyDescent="0.4">
      <c r="A32" s="42" t="s">
        <v>196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>
        <f t="shared" si="0"/>
        <v>0</v>
      </c>
      <c r="O32" s="44">
        <f t="shared" si="1"/>
        <v>0</v>
      </c>
    </row>
    <row r="33" spans="1:15" s="54" customFormat="1" ht="16.8" x14ac:dyDescent="0.4">
      <c r="A33" s="42" t="s">
        <v>163</v>
      </c>
      <c r="B33" s="52"/>
      <c r="C33" s="52"/>
      <c r="D33" s="52"/>
      <c r="E33" s="52"/>
      <c r="F33" s="52">
        <v>1968</v>
      </c>
      <c r="G33" s="52">
        <v>4992</v>
      </c>
      <c r="H33" s="52">
        <v>3872</v>
      </c>
      <c r="I33" s="52">
        <v>4960</v>
      </c>
      <c r="J33" s="52">
        <v>4288</v>
      </c>
      <c r="K33" s="52"/>
      <c r="L33" s="52"/>
      <c r="M33" s="52"/>
      <c r="N33" s="52">
        <f t="shared" si="0"/>
        <v>20080</v>
      </c>
      <c r="O33" s="44">
        <f t="shared" si="1"/>
        <v>1.7300256988080399E-2</v>
      </c>
    </row>
    <row r="34" spans="1:15" s="54" customFormat="1" ht="16.8" x14ac:dyDescent="0.4">
      <c r="A34" s="42" t="s">
        <v>187</v>
      </c>
      <c r="B34" s="52">
        <v>1703</v>
      </c>
      <c r="C34" s="52">
        <v>2496</v>
      </c>
      <c r="D34" s="52"/>
      <c r="E34" s="52">
        <v>2132</v>
      </c>
      <c r="F34" s="52">
        <v>2028</v>
      </c>
      <c r="G34" s="52"/>
      <c r="H34" s="52"/>
      <c r="I34" s="52"/>
      <c r="J34" s="52"/>
      <c r="K34" s="52">
        <v>3796</v>
      </c>
      <c r="L34" s="52">
        <v>4056</v>
      </c>
      <c r="M34" s="52">
        <v>2678</v>
      </c>
      <c r="N34" s="52">
        <f t="shared" si="0"/>
        <v>18889</v>
      </c>
      <c r="O34" s="44">
        <f t="shared" si="1"/>
        <v>1.6274131187641965E-2</v>
      </c>
    </row>
    <row r="35" spans="1:15" s="54" customFormat="1" ht="16.8" x14ac:dyDescent="0.4">
      <c r="A35" s="42" t="s">
        <v>164</v>
      </c>
      <c r="B35" s="52"/>
      <c r="C35" s="52"/>
      <c r="D35" s="52"/>
      <c r="E35" s="52"/>
      <c r="F35" s="52">
        <v>805</v>
      </c>
      <c r="G35" s="52">
        <v>2277</v>
      </c>
      <c r="H35" s="52">
        <v>2116</v>
      </c>
      <c r="I35" s="52">
        <v>2691</v>
      </c>
      <c r="J35" s="52">
        <v>2277</v>
      </c>
      <c r="K35" s="52"/>
      <c r="L35" s="52"/>
      <c r="M35" s="52"/>
      <c r="N35" s="52">
        <f t="shared" si="0"/>
        <v>10166</v>
      </c>
      <c r="O35" s="44">
        <f t="shared" si="1"/>
        <v>8.7586858835072383E-3</v>
      </c>
    </row>
    <row r="36" spans="1:15" s="54" customFormat="1" ht="16.8" x14ac:dyDescent="0.4">
      <c r="A36" s="42" t="s">
        <v>188</v>
      </c>
      <c r="B36" s="52">
        <v>1634</v>
      </c>
      <c r="C36" s="52">
        <v>2527</v>
      </c>
      <c r="D36" s="52"/>
      <c r="E36" s="52">
        <v>1786</v>
      </c>
      <c r="F36" s="52">
        <v>1615</v>
      </c>
      <c r="G36" s="52"/>
      <c r="H36" s="52"/>
      <c r="I36" s="52"/>
      <c r="J36" s="52"/>
      <c r="K36" s="52">
        <v>1425</v>
      </c>
      <c r="L36" s="52">
        <v>1843</v>
      </c>
      <c r="M36" s="52">
        <v>1805</v>
      </c>
      <c r="N36" s="52">
        <f t="shared" si="0"/>
        <v>12635</v>
      </c>
      <c r="O36" s="44">
        <f t="shared" si="1"/>
        <v>1.0885893777111348E-2</v>
      </c>
    </row>
    <row r="37" spans="1:15" s="54" customFormat="1" ht="16.8" x14ac:dyDescent="0.4">
      <c r="A37" s="42" t="s">
        <v>165</v>
      </c>
      <c r="B37" s="52"/>
      <c r="C37" s="52"/>
      <c r="D37" s="52"/>
      <c r="E37" s="52"/>
      <c r="F37" s="52">
        <v>870</v>
      </c>
      <c r="G37" s="52">
        <v>3000</v>
      </c>
      <c r="H37" s="52">
        <v>2700</v>
      </c>
      <c r="I37" s="52">
        <v>3240</v>
      </c>
      <c r="J37" s="52">
        <v>2760</v>
      </c>
      <c r="K37" s="52"/>
      <c r="L37" s="52"/>
      <c r="M37" s="52"/>
      <c r="N37" s="52">
        <f t="shared" si="0"/>
        <v>12570</v>
      </c>
      <c r="O37" s="44">
        <f t="shared" si="1"/>
        <v>1.0829891949211684E-2</v>
      </c>
    </row>
    <row r="38" spans="1:15" s="54" customFormat="1" ht="16.8" x14ac:dyDescent="0.4">
      <c r="A38" s="42" t="s">
        <v>189</v>
      </c>
      <c r="B38" s="52">
        <v>825</v>
      </c>
      <c r="C38" s="52">
        <v>1075</v>
      </c>
      <c r="D38" s="52"/>
      <c r="E38" s="52">
        <v>1900</v>
      </c>
      <c r="F38" s="52">
        <v>1675</v>
      </c>
      <c r="G38" s="52"/>
      <c r="H38" s="52"/>
      <c r="I38" s="52"/>
      <c r="J38" s="52"/>
      <c r="K38" s="52">
        <v>1575</v>
      </c>
      <c r="L38" s="52">
        <v>1375</v>
      </c>
      <c r="M38" s="52">
        <v>1050</v>
      </c>
      <c r="N38" s="52">
        <f t="shared" si="0"/>
        <v>9475</v>
      </c>
      <c r="O38" s="44">
        <f t="shared" si="1"/>
        <v>8.1633433746046702E-3</v>
      </c>
    </row>
    <row r="39" spans="1:15" s="54" customFormat="1" ht="16.8" x14ac:dyDescent="0.4">
      <c r="A39" s="42" t="s">
        <v>166</v>
      </c>
      <c r="B39" s="52"/>
      <c r="C39" s="52"/>
      <c r="D39" s="52"/>
      <c r="E39" s="52"/>
      <c r="F39" s="52">
        <v>624</v>
      </c>
      <c r="G39" s="52">
        <v>2691</v>
      </c>
      <c r="H39" s="52">
        <v>2730</v>
      </c>
      <c r="I39" s="52">
        <v>3549</v>
      </c>
      <c r="J39" s="52">
        <v>2301</v>
      </c>
      <c r="K39" s="52"/>
      <c r="L39" s="52"/>
      <c r="M39" s="52"/>
      <c r="N39" s="52">
        <f t="shared" si="0"/>
        <v>11895</v>
      </c>
      <c r="O39" s="44">
        <f t="shared" si="1"/>
        <v>1.0248334505638265E-2</v>
      </c>
    </row>
    <row r="40" spans="1:15" s="54" customFormat="1" ht="16.8" x14ac:dyDescent="0.4">
      <c r="A40" s="42" t="s">
        <v>190</v>
      </c>
      <c r="B40" s="52">
        <v>896</v>
      </c>
      <c r="C40" s="52">
        <v>1312</v>
      </c>
      <c r="D40" s="52"/>
      <c r="E40" s="52">
        <v>1088</v>
      </c>
      <c r="F40" s="52">
        <v>1120</v>
      </c>
      <c r="G40" s="52"/>
      <c r="H40" s="52"/>
      <c r="I40" s="52"/>
      <c r="J40" s="52"/>
      <c r="K40" s="52">
        <v>1856</v>
      </c>
      <c r="L40" s="52">
        <v>2464</v>
      </c>
      <c r="M40" s="52">
        <v>1600</v>
      </c>
      <c r="N40" s="52">
        <f t="shared" si="0"/>
        <v>10336</v>
      </c>
      <c r="O40" s="44">
        <f t="shared" si="1"/>
        <v>8.9051522026294336E-3</v>
      </c>
    </row>
    <row r="41" spans="1:15" s="54" customFormat="1" ht="16.8" x14ac:dyDescent="0.4">
      <c r="A41" s="42" t="s">
        <v>167</v>
      </c>
      <c r="B41" s="52"/>
      <c r="C41" s="52"/>
      <c r="D41" s="52"/>
      <c r="E41" s="52"/>
      <c r="F41" s="52">
        <v>588</v>
      </c>
      <c r="G41" s="52">
        <v>1568</v>
      </c>
      <c r="H41" s="52">
        <v>2156</v>
      </c>
      <c r="I41" s="52">
        <v>2058</v>
      </c>
      <c r="J41" s="52">
        <v>1176</v>
      </c>
      <c r="K41" s="52"/>
      <c r="L41" s="52"/>
      <c r="M41" s="52"/>
      <c r="N41" s="52">
        <f t="shared" si="0"/>
        <v>7546</v>
      </c>
      <c r="O41" s="44">
        <f t="shared" si="1"/>
        <v>6.501381435859298E-3</v>
      </c>
    </row>
    <row r="42" spans="1:15" s="54" customFormat="1" ht="16.8" x14ac:dyDescent="0.4">
      <c r="A42" s="42" t="s">
        <v>191</v>
      </c>
      <c r="B42" s="52">
        <v>400</v>
      </c>
      <c r="C42" s="52">
        <v>600</v>
      </c>
      <c r="D42" s="52"/>
      <c r="E42" s="52">
        <v>1080</v>
      </c>
      <c r="F42" s="52">
        <v>720</v>
      </c>
      <c r="G42" s="52"/>
      <c r="H42" s="52"/>
      <c r="I42" s="52"/>
      <c r="J42" s="52"/>
      <c r="K42" s="52">
        <v>800</v>
      </c>
      <c r="L42" s="52">
        <v>600</v>
      </c>
      <c r="M42" s="52">
        <v>560</v>
      </c>
      <c r="N42" s="52">
        <f t="shared" si="0"/>
        <v>4760</v>
      </c>
      <c r="O42" s="44">
        <f t="shared" si="1"/>
        <v>4.1010569354214491E-3</v>
      </c>
    </row>
    <row r="43" spans="1:15" s="54" customFormat="1" ht="16.8" x14ac:dyDescent="0.4">
      <c r="A43" s="42" t="s">
        <v>168</v>
      </c>
      <c r="B43" s="52"/>
      <c r="C43" s="52"/>
      <c r="D43" s="52"/>
      <c r="E43" s="52"/>
      <c r="F43" s="52">
        <v>600</v>
      </c>
      <c r="G43" s="52">
        <v>360</v>
      </c>
      <c r="H43" s="52">
        <v>780</v>
      </c>
      <c r="I43" s="52">
        <v>780</v>
      </c>
      <c r="J43" s="52">
        <v>660</v>
      </c>
      <c r="K43" s="52"/>
      <c r="L43" s="52"/>
      <c r="M43" s="52"/>
      <c r="N43" s="52">
        <f t="shared" si="0"/>
        <v>3180</v>
      </c>
      <c r="O43" s="44">
        <f t="shared" si="1"/>
        <v>2.739781734168111E-3</v>
      </c>
    </row>
    <row r="44" spans="1:15" s="54" customFormat="1" ht="16.8" x14ac:dyDescent="0.4">
      <c r="A44" s="42" t="s">
        <v>192</v>
      </c>
      <c r="B44" s="52">
        <v>441</v>
      </c>
      <c r="C44" s="52">
        <v>294</v>
      </c>
      <c r="D44" s="52"/>
      <c r="E44" s="52">
        <v>196</v>
      </c>
      <c r="F44" s="52">
        <v>196</v>
      </c>
      <c r="G44" s="52"/>
      <c r="H44" s="52"/>
      <c r="I44" s="52"/>
      <c r="J44" s="52"/>
      <c r="K44" s="52">
        <v>392</v>
      </c>
      <c r="L44" s="52">
        <v>245</v>
      </c>
      <c r="M44" s="52">
        <v>196</v>
      </c>
      <c r="N44" s="52">
        <f t="shared" si="0"/>
        <v>1960</v>
      </c>
      <c r="O44" s="44">
        <f t="shared" si="1"/>
        <v>1.6886705028205968E-3</v>
      </c>
    </row>
    <row r="45" spans="1:15" s="54" customFormat="1" ht="16.8" x14ac:dyDescent="0.4">
      <c r="A45" s="42" t="s">
        <v>169</v>
      </c>
      <c r="B45" s="52"/>
      <c r="C45" s="52"/>
      <c r="D45" s="52"/>
      <c r="E45" s="52"/>
      <c r="F45" s="52"/>
      <c r="G45" s="52">
        <v>144</v>
      </c>
      <c r="H45" s="52">
        <v>288</v>
      </c>
      <c r="I45" s="52">
        <v>216</v>
      </c>
      <c r="J45" s="52">
        <v>216</v>
      </c>
      <c r="K45" s="52"/>
      <c r="L45" s="52"/>
      <c r="M45" s="52"/>
      <c r="N45" s="52">
        <f t="shared" si="0"/>
        <v>864</v>
      </c>
      <c r="O45" s="44">
        <f t="shared" si="1"/>
        <v>7.4439352777397739E-4</v>
      </c>
    </row>
    <row r="46" spans="1:15" s="54" customFormat="1" ht="16.8" x14ac:dyDescent="0.4">
      <c r="A46" s="42" t="s">
        <v>193</v>
      </c>
      <c r="B46" s="52">
        <v>354</v>
      </c>
      <c r="C46" s="52">
        <v>236</v>
      </c>
      <c r="D46" s="52"/>
      <c r="E46" s="52">
        <v>177</v>
      </c>
      <c r="F46" s="52">
        <v>236</v>
      </c>
      <c r="G46" s="52"/>
      <c r="H46" s="52"/>
      <c r="I46" s="52"/>
      <c r="J46" s="52"/>
      <c r="K46" s="52">
        <v>59</v>
      </c>
      <c r="L46" s="52">
        <v>177</v>
      </c>
      <c r="M46" s="52">
        <v>118</v>
      </c>
      <c r="N46" s="52">
        <f t="shared" si="0"/>
        <v>1357</v>
      </c>
      <c r="O46" s="44">
        <f t="shared" si="1"/>
        <v>1.1691458532283418E-3</v>
      </c>
    </row>
    <row r="47" spans="1:15" s="54" customFormat="1" ht="16.8" x14ac:dyDescent="0.4">
      <c r="A47" s="42" t="s">
        <v>170</v>
      </c>
      <c r="B47" s="52"/>
      <c r="C47" s="52"/>
      <c r="D47" s="52"/>
      <c r="E47" s="52"/>
      <c r="F47" s="52"/>
      <c r="G47" s="52"/>
      <c r="H47" s="52">
        <v>84</v>
      </c>
      <c r="I47" s="52">
        <v>168</v>
      </c>
      <c r="J47" s="52">
        <v>252</v>
      </c>
      <c r="K47" s="52"/>
      <c r="L47" s="52"/>
      <c r="M47" s="52"/>
      <c r="N47" s="52">
        <f t="shared" si="0"/>
        <v>504</v>
      </c>
      <c r="O47" s="44">
        <f t="shared" si="1"/>
        <v>4.3422955786815348E-4</v>
      </c>
    </row>
    <row r="48" spans="1:15" s="54" customFormat="1" ht="16.8" x14ac:dyDescent="0.4">
      <c r="A48" s="42" t="s">
        <v>194</v>
      </c>
      <c r="B48" s="52"/>
      <c r="C48" s="52">
        <v>138</v>
      </c>
      <c r="D48" s="52"/>
      <c r="E48" s="52">
        <v>207</v>
      </c>
      <c r="F48" s="52">
        <v>69</v>
      </c>
      <c r="G48" s="52"/>
      <c r="H48" s="52"/>
      <c r="I48" s="52"/>
      <c r="J48" s="52"/>
      <c r="K48" s="52">
        <v>207</v>
      </c>
      <c r="L48" s="52">
        <v>414</v>
      </c>
      <c r="M48" s="52">
        <v>138</v>
      </c>
      <c r="N48" s="52">
        <f t="shared" si="0"/>
        <v>1173</v>
      </c>
      <c r="O48" s="44">
        <f t="shared" si="1"/>
        <v>1.0106176019431428E-3</v>
      </c>
    </row>
    <row r="49" spans="1:15" s="54" customFormat="1" ht="16.8" x14ac:dyDescent="0.4">
      <c r="A49" s="42" t="s">
        <v>171</v>
      </c>
      <c r="B49" s="52"/>
      <c r="C49" s="52"/>
      <c r="D49" s="52"/>
      <c r="E49" s="52"/>
      <c r="F49" s="52">
        <v>198</v>
      </c>
      <c r="G49" s="52">
        <v>396</v>
      </c>
      <c r="H49" s="52"/>
      <c r="I49" s="52">
        <v>990</v>
      </c>
      <c r="J49" s="52">
        <v>396</v>
      </c>
      <c r="K49" s="52"/>
      <c r="L49" s="52"/>
      <c r="M49" s="52"/>
      <c r="N49" s="52">
        <f t="shared" si="0"/>
        <v>1980</v>
      </c>
      <c r="O49" s="44">
        <f t="shared" si="1"/>
        <v>1.7059018344820316E-3</v>
      </c>
    </row>
    <row r="50" spans="1:15" s="54" customFormat="1" ht="16.8" x14ac:dyDescent="0.4">
      <c r="A50" s="42" t="s">
        <v>195</v>
      </c>
      <c r="B50" s="52">
        <v>486</v>
      </c>
      <c r="C50" s="52">
        <v>243</v>
      </c>
      <c r="D50" s="52"/>
      <c r="E50" s="52">
        <v>81</v>
      </c>
      <c r="F50" s="52">
        <v>243</v>
      </c>
      <c r="G50" s="52"/>
      <c r="H50" s="52"/>
      <c r="I50" s="52"/>
      <c r="J50" s="52"/>
      <c r="K50" s="52">
        <v>324</v>
      </c>
      <c r="L50" s="52">
        <v>729</v>
      </c>
      <c r="M50" s="52"/>
      <c r="N50" s="52">
        <f t="shared" si="0"/>
        <v>2106</v>
      </c>
      <c r="O50" s="44">
        <f t="shared" si="1"/>
        <v>1.8144592239490698E-3</v>
      </c>
    </row>
    <row r="51" spans="1:15" s="54" customFormat="1" ht="16.8" x14ac:dyDescent="0.4">
      <c r="A51" s="42" t="s">
        <v>198</v>
      </c>
      <c r="B51" s="52">
        <v>10.8</v>
      </c>
      <c r="C51" s="52">
        <v>10.8</v>
      </c>
      <c r="D51" s="52">
        <v>13.2</v>
      </c>
      <c r="E51" s="52">
        <v>9</v>
      </c>
      <c r="F51" s="52">
        <v>12</v>
      </c>
      <c r="G51" s="52">
        <v>9.6</v>
      </c>
      <c r="H51" s="52"/>
      <c r="I51" s="52">
        <v>1.8</v>
      </c>
      <c r="J51" s="52">
        <v>11.4</v>
      </c>
      <c r="K51" s="52">
        <v>12.6</v>
      </c>
      <c r="L51" s="52">
        <v>11.4</v>
      </c>
      <c r="M51" s="52">
        <v>7.8</v>
      </c>
      <c r="N51" s="52">
        <f t="shared" si="0"/>
        <v>110.39999999999999</v>
      </c>
      <c r="O51" s="44">
        <f t="shared" si="1"/>
        <v>9.5116950771119321E-5</v>
      </c>
    </row>
    <row r="52" spans="1:15" ht="16.8" x14ac:dyDescent="0.4">
      <c r="A52" s="5" t="s">
        <v>25</v>
      </c>
      <c r="B52" s="39">
        <f t="shared" ref="B52:M52" si="2">SUM(B4:B51)</f>
        <v>77199.8</v>
      </c>
      <c r="C52" s="39">
        <f t="shared" si="2"/>
        <v>70868.800000000003</v>
      </c>
      <c r="D52" s="39">
        <f t="shared" si="2"/>
        <v>23523.200000000001</v>
      </c>
      <c r="E52" s="39">
        <f t="shared" si="2"/>
        <v>87203.5</v>
      </c>
      <c r="F52" s="39">
        <f t="shared" si="2"/>
        <v>115635</v>
      </c>
      <c r="G52" s="39">
        <f t="shared" si="2"/>
        <v>126452.1</v>
      </c>
      <c r="H52" s="39">
        <f t="shared" si="2"/>
        <v>141978</v>
      </c>
      <c r="I52" s="39">
        <f t="shared" si="2"/>
        <v>142266.29999999999</v>
      </c>
      <c r="J52" s="39">
        <f t="shared" si="2"/>
        <v>116164.4</v>
      </c>
      <c r="K52" s="39">
        <f t="shared" si="2"/>
        <v>88463.1</v>
      </c>
      <c r="L52" s="39">
        <f t="shared" si="2"/>
        <v>81895.899999999994</v>
      </c>
      <c r="M52" s="39">
        <f t="shared" si="2"/>
        <v>89026.3</v>
      </c>
      <c r="N52" s="9">
        <f t="shared" si="0"/>
        <v>1160676.3999999999</v>
      </c>
      <c r="O52" s="10">
        <f t="shared" si="1"/>
        <v>1</v>
      </c>
    </row>
    <row r="53" spans="1:15" ht="16.8" x14ac:dyDescent="0.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6.8" x14ac:dyDescent="0.4">
      <c r="A56" s="4" t="s">
        <v>148</v>
      </c>
      <c r="B56" s="39">
        <f t="shared" ref="B56:D56" si="3">+B4+B7+B8+B9+B15+B16+B19+B20+B22+B23+B24+B27+B28+B33+B34+B35+B36+B37+B38+B39+B40+B41+B42+B43+B44+B45+B46+B47+B48+B49+B50+B5+B6</f>
        <v>63383</v>
      </c>
      <c r="C56" s="39">
        <f t="shared" si="3"/>
        <v>54267</v>
      </c>
      <c r="D56" s="39">
        <f t="shared" si="3"/>
        <v>12</v>
      </c>
      <c r="E56" s="39">
        <f>+E4+E7+E8+E9+E15+E16+E19+E20+E22+E23+E24+E27+E28+E33+E34+E35+E36+E37+E38+E39+E40+E41+E42+E43+E44+E45+E46+E47+E48+E49+E50+E5+E6</f>
        <v>66290</v>
      </c>
      <c r="F56" s="39">
        <f t="shared" ref="F56:N56" si="4">+F4+F7+F8+F9+F15+F16+F19+F20+F22+F23+F24+F27+F28+F33+F34+F35+F36+F37+F38+F39+F40+F41+F42+F43+F44+F45+F46+F47+F48+F49+F50+F5+F6</f>
        <v>90622</v>
      </c>
      <c r="G56" s="39">
        <f t="shared" si="4"/>
        <v>97120</v>
      </c>
      <c r="H56" s="39">
        <f t="shared" si="4"/>
        <v>103624</v>
      </c>
      <c r="I56" s="39">
        <f>+I4+I7+I8+I9+I15+I16+I19+I20+I22+I23+I24+I27+I28+I33+I34+I35+I36+I37+I38+I39+I40+I41+I42+I43+I44+I45+I46+I47+I48+I49+I50+I5+I6+I18</f>
        <v>104274</v>
      </c>
      <c r="J56" s="39">
        <f t="shared" ref="J56:M56" si="5">+J4+J7+J8+J9+J15+J16+J19+J20+J22+J23+J24+J27+J28+J33+J34+J35+J36+J37+J38+J39+J40+J41+J42+J43+J44+J45+J46+J47+J48+J49+J50+J5+J6+J18</f>
        <v>87703</v>
      </c>
      <c r="K56" s="39">
        <f t="shared" si="5"/>
        <v>70352</v>
      </c>
      <c r="L56" s="39">
        <f t="shared" si="5"/>
        <v>66259</v>
      </c>
      <c r="M56" s="39">
        <f t="shared" si="5"/>
        <v>71365</v>
      </c>
      <c r="N56" s="39">
        <f t="shared" si="4"/>
        <v>875271</v>
      </c>
      <c r="O56" s="4"/>
    </row>
    <row r="57" spans="1:15" s="56" customFormat="1" ht="16.8" x14ac:dyDescent="0.4">
      <c r="A57" s="55" t="s">
        <v>149</v>
      </c>
      <c r="B57" s="50">
        <f>+B10+B11+B12+B13+B14+B17+B21+B25+B26+B29+B30+B31+B51</f>
        <v>13816.8</v>
      </c>
      <c r="C57" s="50">
        <f t="shared" ref="C57:N57" si="6">+C10+C11+C12+C13+C14+C17+C21+C25+C26+C29+C30+C31+C51</f>
        <v>16601.8</v>
      </c>
      <c r="D57" s="50">
        <f t="shared" si="6"/>
        <v>23511.200000000001</v>
      </c>
      <c r="E57" s="50">
        <f t="shared" si="6"/>
        <v>20913.5</v>
      </c>
      <c r="F57" s="50">
        <f t="shared" si="6"/>
        <v>25013</v>
      </c>
      <c r="G57" s="50">
        <f t="shared" si="6"/>
        <v>29332.1</v>
      </c>
      <c r="H57" s="50">
        <f t="shared" si="6"/>
        <v>38354</v>
      </c>
      <c r="I57" s="50">
        <f t="shared" si="6"/>
        <v>37992.300000000003</v>
      </c>
      <c r="J57" s="50">
        <f t="shared" si="6"/>
        <v>28461.4</v>
      </c>
      <c r="K57" s="50">
        <f t="shared" si="6"/>
        <v>18111.099999999999</v>
      </c>
      <c r="L57" s="50">
        <f t="shared" si="6"/>
        <v>15636.9</v>
      </c>
      <c r="M57" s="50">
        <f t="shared" si="6"/>
        <v>17661.3</v>
      </c>
      <c r="N57" s="50">
        <f t="shared" si="6"/>
        <v>285405.40000000002</v>
      </c>
      <c r="O57" s="50"/>
    </row>
    <row r="58" spans="1:15" s="46" customFormat="1" ht="17.399999999999999" thickBot="1" x14ac:dyDescent="0.45">
      <c r="A58" s="48" t="s">
        <v>143</v>
      </c>
      <c r="B58" s="47">
        <f t="shared" ref="B58:N58" si="7">SUM(B56:B57)</f>
        <v>77199.8</v>
      </c>
      <c r="C58" s="47">
        <f t="shared" si="7"/>
        <v>70868.800000000003</v>
      </c>
      <c r="D58" s="47">
        <f t="shared" si="7"/>
        <v>23523.200000000001</v>
      </c>
      <c r="E58" s="47">
        <f t="shared" si="7"/>
        <v>87203.5</v>
      </c>
      <c r="F58" s="47">
        <f t="shared" si="7"/>
        <v>115635</v>
      </c>
      <c r="G58" s="47">
        <f t="shared" si="7"/>
        <v>126452.1</v>
      </c>
      <c r="H58" s="47">
        <f t="shared" si="7"/>
        <v>141978</v>
      </c>
      <c r="I58" s="47">
        <f t="shared" si="7"/>
        <v>142266.29999999999</v>
      </c>
      <c r="J58" s="47">
        <f t="shared" si="7"/>
        <v>116164.4</v>
      </c>
      <c r="K58" s="47">
        <f t="shared" si="7"/>
        <v>88463.1</v>
      </c>
      <c r="L58" s="47">
        <f t="shared" si="7"/>
        <v>81895.899999999994</v>
      </c>
      <c r="M58" s="47">
        <f t="shared" si="7"/>
        <v>89026.3</v>
      </c>
      <c r="N58" s="47">
        <f t="shared" si="7"/>
        <v>1160676.3999999999</v>
      </c>
      <c r="O58" s="48"/>
    </row>
    <row r="59" spans="1:15" ht="17.399999999999999" thickTop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/>
      <c r="B60" s="39">
        <f t="shared" ref="B60:M60" si="8">+B58-B52</f>
        <v>0</v>
      </c>
      <c r="C60" s="39">
        <f t="shared" si="8"/>
        <v>0</v>
      </c>
      <c r="D60" s="39">
        <f t="shared" si="8"/>
        <v>0</v>
      </c>
      <c r="E60" s="39">
        <f t="shared" si="8"/>
        <v>0</v>
      </c>
      <c r="F60" s="39">
        <f t="shared" si="8"/>
        <v>0</v>
      </c>
      <c r="G60" s="39">
        <f t="shared" si="8"/>
        <v>0</v>
      </c>
      <c r="H60" s="39">
        <f t="shared" si="8"/>
        <v>0</v>
      </c>
      <c r="I60" s="39">
        <f t="shared" si="8"/>
        <v>0</v>
      </c>
      <c r="J60" s="39">
        <f t="shared" si="8"/>
        <v>0</v>
      </c>
      <c r="K60" s="39">
        <f t="shared" si="8"/>
        <v>0</v>
      </c>
      <c r="L60" s="39">
        <f t="shared" si="8"/>
        <v>0</v>
      </c>
      <c r="M60" s="39">
        <f t="shared" si="8"/>
        <v>0</v>
      </c>
      <c r="N60" s="4"/>
      <c r="O60" s="4"/>
    </row>
    <row r="65" spans="1:14" ht="16.2" x14ac:dyDescent="0.25">
      <c r="A65" s="60" t="s">
        <v>204</v>
      </c>
      <c r="B65" s="61">
        <f t="shared" ref="B65:N65" si="9">+B4+B7+B8+B9+B5+B6</f>
        <v>29686</v>
      </c>
      <c r="C65" s="61">
        <f t="shared" si="9"/>
        <v>17296</v>
      </c>
      <c r="D65" s="61">
        <f t="shared" si="9"/>
        <v>0</v>
      </c>
      <c r="E65" s="61">
        <f t="shared" si="9"/>
        <v>27038</v>
      </c>
      <c r="F65" s="61">
        <f t="shared" si="9"/>
        <v>34930</v>
      </c>
      <c r="G65" s="61">
        <f t="shared" si="9"/>
        <v>33884</v>
      </c>
      <c r="H65" s="61">
        <f t="shared" si="9"/>
        <v>29118</v>
      </c>
      <c r="I65" s="61">
        <f t="shared" si="9"/>
        <v>28846</v>
      </c>
      <c r="J65" s="61">
        <f t="shared" si="9"/>
        <v>27812</v>
      </c>
      <c r="K65" s="61">
        <f t="shared" si="9"/>
        <v>29626</v>
      </c>
      <c r="L65" s="61">
        <f t="shared" si="9"/>
        <v>24472</v>
      </c>
      <c r="M65" s="61">
        <f t="shared" si="9"/>
        <v>30416</v>
      </c>
      <c r="N65" s="61">
        <f t="shared" si="9"/>
        <v>313124</v>
      </c>
    </row>
    <row r="66" spans="1:14" ht="16.2" x14ac:dyDescent="0.25">
      <c r="A66" s="60" t="s">
        <v>205</v>
      </c>
      <c r="B66" s="61">
        <f t="shared" ref="B66:N66" si="10">+B15+B16+B23+B24</f>
        <v>26946</v>
      </c>
      <c r="C66" s="61">
        <f t="shared" si="10"/>
        <v>27984</v>
      </c>
      <c r="D66" s="61">
        <f t="shared" si="10"/>
        <v>0</v>
      </c>
      <c r="E66" s="61">
        <f t="shared" si="10"/>
        <v>30498</v>
      </c>
      <c r="F66" s="61">
        <f t="shared" si="10"/>
        <v>41836</v>
      </c>
      <c r="G66" s="61">
        <f t="shared" si="10"/>
        <v>47364</v>
      </c>
      <c r="H66" s="61">
        <f t="shared" si="10"/>
        <v>59210</v>
      </c>
      <c r="I66" s="61">
        <f t="shared" si="10"/>
        <v>56106</v>
      </c>
      <c r="J66" s="61">
        <f t="shared" si="10"/>
        <v>45242</v>
      </c>
      <c r="K66" s="61">
        <f t="shared" si="10"/>
        <v>30208</v>
      </c>
      <c r="L66" s="61">
        <f t="shared" si="10"/>
        <v>29764</v>
      </c>
      <c r="M66" s="61">
        <f t="shared" si="10"/>
        <v>32792</v>
      </c>
      <c r="N66" s="61">
        <f t="shared" si="10"/>
        <v>427950</v>
      </c>
    </row>
    <row r="67" spans="1:14" ht="16.2" x14ac:dyDescent="0.25">
      <c r="A67" s="60" t="s">
        <v>206</v>
      </c>
      <c r="B67" s="61">
        <f t="shared" ref="B67:N67" si="11">+B19+B20+B27+B28</f>
        <v>6</v>
      </c>
      <c r="C67" s="61">
        <f t="shared" si="11"/>
        <v>66</v>
      </c>
      <c r="D67" s="61">
        <f t="shared" si="11"/>
        <v>12</v>
      </c>
      <c r="E67" s="61">
        <f t="shared" si="11"/>
        <v>107</v>
      </c>
      <c r="F67" s="61">
        <f t="shared" si="11"/>
        <v>265</v>
      </c>
      <c r="G67" s="61">
        <f t="shared" si="11"/>
        <v>426</v>
      </c>
      <c r="H67" s="61">
        <f t="shared" si="11"/>
        <v>570</v>
      </c>
      <c r="I67" s="61">
        <f t="shared" si="11"/>
        <v>592</v>
      </c>
      <c r="J67" s="61">
        <f t="shared" si="11"/>
        <v>311</v>
      </c>
      <c r="K67" s="61">
        <f t="shared" si="11"/>
        <v>66</v>
      </c>
      <c r="L67" s="61">
        <f t="shared" si="11"/>
        <v>0</v>
      </c>
      <c r="M67" s="61">
        <f t="shared" si="11"/>
        <v>12</v>
      </c>
      <c r="N67" s="61">
        <f t="shared" si="11"/>
        <v>2433</v>
      </c>
    </row>
    <row r="68" spans="1:14" ht="16.2" x14ac:dyDescent="0.25">
      <c r="A68" s="60" t="s">
        <v>207</v>
      </c>
      <c r="B68" s="61">
        <f t="shared" ref="B68:H68" si="12">+B33+B34+B35+B36+B37+B38+B39+B40+B41+B42+B43+B44+B45+B46+B47+B48+B49+B50+B18+B22</f>
        <v>6745</v>
      </c>
      <c r="C68" s="61">
        <f t="shared" si="12"/>
        <v>8921</v>
      </c>
      <c r="D68" s="61">
        <f t="shared" si="12"/>
        <v>0</v>
      </c>
      <c r="E68" s="61">
        <f t="shared" si="12"/>
        <v>8647</v>
      </c>
      <c r="F68" s="61">
        <f t="shared" si="12"/>
        <v>13591</v>
      </c>
      <c r="G68" s="61">
        <f t="shared" si="12"/>
        <v>15446</v>
      </c>
      <c r="H68" s="61">
        <f t="shared" si="12"/>
        <v>14726</v>
      </c>
      <c r="I68" s="61">
        <f>+I33+I34+I35+I36+I37+I38+I39+I40+I41+I42+I43+I44+I45+I46+I47+I48+I49+I50+I18+I22</f>
        <v>18730</v>
      </c>
      <c r="J68" s="61">
        <f t="shared" ref="J68:M68" si="13">+J33+J34+J35+J36+J37+J38+J39+J40+J41+J42+J43+J44+J45+J46+J47+J48+J49+J50+J18+J22</f>
        <v>14338</v>
      </c>
      <c r="K68" s="61">
        <f t="shared" si="13"/>
        <v>10452</v>
      </c>
      <c r="L68" s="61">
        <f t="shared" si="13"/>
        <v>12023</v>
      </c>
      <c r="M68" s="61">
        <f t="shared" si="13"/>
        <v>8145</v>
      </c>
      <c r="N68" s="61">
        <f t="shared" ref="N68" si="14">+N33+N34+N35+N36+N37+N38+N39+N40+N41+N42+N43+N44+N45+N46+N47+N48+N49+N50</f>
        <v>131476</v>
      </c>
    </row>
    <row r="69" spans="1:14" ht="16.2" x14ac:dyDescent="0.25">
      <c r="A69" s="60" t="s">
        <v>208</v>
      </c>
      <c r="B69" s="61">
        <f t="shared" ref="B69:N69" si="15">+B12+B29</f>
        <v>7695</v>
      </c>
      <c r="C69" s="61">
        <f t="shared" si="15"/>
        <v>9431</v>
      </c>
      <c r="D69" s="61">
        <f t="shared" si="15"/>
        <v>13820</v>
      </c>
      <c r="E69" s="61">
        <f t="shared" si="15"/>
        <v>10476</v>
      </c>
      <c r="F69" s="61">
        <f t="shared" si="15"/>
        <v>10379</v>
      </c>
      <c r="G69" s="61">
        <f t="shared" si="15"/>
        <v>11651</v>
      </c>
      <c r="H69" s="61">
        <f t="shared" si="15"/>
        <v>11407</v>
      </c>
      <c r="I69" s="61">
        <f t="shared" si="15"/>
        <v>11142</v>
      </c>
      <c r="J69" s="61">
        <f t="shared" si="15"/>
        <v>9993</v>
      </c>
      <c r="K69" s="61">
        <f t="shared" si="15"/>
        <v>9524</v>
      </c>
      <c r="L69" s="61">
        <f t="shared" si="15"/>
        <v>7691</v>
      </c>
      <c r="M69" s="61">
        <f t="shared" si="15"/>
        <v>8026</v>
      </c>
      <c r="N69" s="61">
        <f t="shared" si="15"/>
        <v>121235</v>
      </c>
    </row>
    <row r="70" spans="1:14" ht="16.2" x14ac:dyDescent="0.25">
      <c r="A70" s="60" t="s">
        <v>209</v>
      </c>
      <c r="B70" s="61">
        <f t="shared" ref="B70:N70" si="16">+B13+B14+B25+B26</f>
        <v>5879</v>
      </c>
      <c r="C70" s="61">
        <f t="shared" si="16"/>
        <v>6174</v>
      </c>
      <c r="D70" s="61">
        <f t="shared" si="16"/>
        <v>8933</v>
      </c>
      <c r="E70" s="61">
        <f t="shared" si="16"/>
        <v>9645</v>
      </c>
      <c r="F70" s="61">
        <f t="shared" si="16"/>
        <v>12489</v>
      </c>
      <c r="G70" s="61">
        <f t="shared" si="16"/>
        <v>15486</v>
      </c>
      <c r="H70" s="61">
        <f t="shared" si="16"/>
        <v>24667</v>
      </c>
      <c r="I70" s="61">
        <f t="shared" si="16"/>
        <v>23484</v>
      </c>
      <c r="J70" s="61">
        <f t="shared" si="16"/>
        <v>15909</v>
      </c>
      <c r="K70" s="61">
        <f t="shared" si="16"/>
        <v>7795</v>
      </c>
      <c r="L70" s="61">
        <f t="shared" si="16"/>
        <v>7177</v>
      </c>
      <c r="M70" s="61">
        <f t="shared" si="16"/>
        <v>8132</v>
      </c>
      <c r="N70" s="61">
        <f t="shared" si="16"/>
        <v>145770</v>
      </c>
    </row>
    <row r="71" spans="1:14" ht="16.2" x14ac:dyDescent="0.25">
      <c r="A71" s="60" t="s">
        <v>210</v>
      </c>
      <c r="B71" s="61">
        <f t="shared" ref="B71:N71" si="17">+B10+B11+B30+B31</f>
        <v>133</v>
      </c>
      <c r="C71" s="61">
        <f t="shared" si="17"/>
        <v>147</v>
      </c>
      <c r="D71" s="61">
        <f t="shared" si="17"/>
        <v>264</v>
      </c>
      <c r="E71" s="61">
        <f t="shared" si="17"/>
        <v>581</v>
      </c>
      <c r="F71" s="61">
        <f t="shared" si="17"/>
        <v>1283</v>
      </c>
      <c r="G71" s="61">
        <f t="shared" si="17"/>
        <v>1117.5</v>
      </c>
      <c r="H71" s="61">
        <f t="shared" si="17"/>
        <v>2160</v>
      </c>
      <c r="I71" s="61">
        <f t="shared" si="17"/>
        <v>2108</v>
      </c>
      <c r="J71" s="61">
        <f t="shared" si="17"/>
        <v>1003.5</v>
      </c>
      <c r="K71" s="61">
        <f t="shared" si="17"/>
        <v>424</v>
      </c>
      <c r="L71" s="61">
        <f t="shared" si="17"/>
        <v>153</v>
      </c>
      <c r="M71" s="61">
        <f t="shared" si="17"/>
        <v>64</v>
      </c>
      <c r="N71" s="61">
        <f t="shared" si="17"/>
        <v>9438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1"/>
  <sheetViews>
    <sheetView workbookViewId="0">
      <pane xSplit="1" ySplit="3" topLeftCell="H40" activePane="bottomRight" state="frozen"/>
      <selection pane="topRight" activeCell="B1" sqref="B1"/>
      <selection pane="bottomLeft" activeCell="A4" sqref="A4"/>
      <selection pane="bottomRight" activeCell="O56" sqref="O56"/>
    </sheetView>
  </sheetViews>
  <sheetFormatPr defaultColWidth="8.33203125" defaultRowHeight="15" x14ac:dyDescent="0.25"/>
  <cols>
    <col min="1" max="1" width="29.08203125" bestFit="1" customWidth="1"/>
    <col min="2" max="4" width="9.33203125" bestFit="1" customWidth="1"/>
    <col min="5" max="5" width="9" bestFit="1" customWidth="1"/>
    <col min="6" max="7" width="9.33203125" bestFit="1" customWidth="1"/>
    <col min="8" max="8" width="9.58203125" customWidth="1"/>
    <col min="9" max="10" width="9.4140625" bestFit="1" customWidth="1"/>
    <col min="11" max="11" width="9.4140625" customWidth="1"/>
    <col min="12" max="12" width="9.25" customWidth="1"/>
    <col min="13" max="13" width="9.08203125" bestFit="1" customWidth="1"/>
    <col min="14" max="14" width="10.75" bestFit="1" customWidth="1"/>
  </cols>
  <sheetData>
    <row r="1" spans="1:15" ht="18.600000000000001" x14ac:dyDescent="0.45">
      <c r="A1" s="3" t="s">
        <v>227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223</v>
      </c>
      <c r="B4" s="43">
        <v>100</v>
      </c>
      <c r="C4" s="43">
        <v>400</v>
      </c>
      <c r="D4" s="43">
        <v>500</v>
      </c>
      <c r="E4" s="43">
        <v>300</v>
      </c>
      <c r="F4" s="43">
        <v>240</v>
      </c>
      <c r="G4" s="43">
        <v>600</v>
      </c>
      <c r="H4" s="43">
        <v>600</v>
      </c>
      <c r="I4" s="43">
        <v>600</v>
      </c>
      <c r="J4" s="43">
        <v>240</v>
      </c>
      <c r="K4" s="43">
        <v>700</v>
      </c>
      <c r="L4" s="43">
        <v>600</v>
      </c>
      <c r="M4" s="43">
        <v>900</v>
      </c>
      <c r="N4" s="43">
        <f t="shared" ref="N4:N52" si="0">SUM(B4:M4)</f>
        <v>5780</v>
      </c>
      <c r="O4" s="44">
        <f>N4/$N$52</f>
        <v>4.7994482461296561E-3</v>
      </c>
    </row>
    <row r="5" spans="1:15" s="54" customFormat="1" ht="16.8" x14ac:dyDescent="0.4">
      <c r="A5" s="42" t="s">
        <v>222</v>
      </c>
      <c r="B5" s="43">
        <v>240</v>
      </c>
      <c r="C5" s="43">
        <v>240</v>
      </c>
      <c r="D5" s="43">
        <v>320</v>
      </c>
      <c r="E5" s="43">
        <v>240</v>
      </c>
      <c r="F5" s="43">
        <v>500</v>
      </c>
      <c r="G5" s="43">
        <v>500</v>
      </c>
      <c r="H5" s="43">
        <v>200</v>
      </c>
      <c r="I5" s="43">
        <v>300</v>
      </c>
      <c r="J5" s="43"/>
      <c r="K5" s="43">
        <v>640</v>
      </c>
      <c r="L5" s="43">
        <v>80</v>
      </c>
      <c r="M5" s="43">
        <v>160</v>
      </c>
      <c r="N5" s="43">
        <f t="shared" si="0"/>
        <v>3420</v>
      </c>
      <c r="O5" s="44">
        <f t="shared" ref="O5:O52" si="1">N5/$N$52</f>
        <v>2.839811938021354E-3</v>
      </c>
    </row>
    <row r="6" spans="1:15" s="54" customFormat="1" ht="16.8" x14ac:dyDescent="0.4">
      <c r="A6" s="42" t="s">
        <v>214</v>
      </c>
      <c r="B6" s="43">
        <v>14450</v>
      </c>
      <c r="C6" s="43">
        <v>17170</v>
      </c>
      <c r="D6" s="43">
        <v>12920</v>
      </c>
      <c r="E6" s="43">
        <v>14280</v>
      </c>
      <c r="F6" s="43">
        <v>20740</v>
      </c>
      <c r="G6" s="43">
        <v>16150</v>
      </c>
      <c r="H6" s="43">
        <v>16490</v>
      </c>
      <c r="I6" s="43">
        <v>14790</v>
      </c>
      <c r="J6" s="43">
        <v>16660</v>
      </c>
      <c r="K6" s="43">
        <v>15300</v>
      </c>
      <c r="L6" s="43">
        <v>13430</v>
      </c>
      <c r="M6" s="43">
        <v>15980</v>
      </c>
      <c r="N6" s="43">
        <f t="shared" si="0"/>
        <v>188360</v>
      </c>
      <c r="O6" s="44">
        <f t="shared" si="1"/>
        <v>0.1564055487268135</v>
      </c>
    </row>
    <row r="7" spans="1:15" s="54" customFormat="1" ht="16.8" x14ac:dyDescent="0.4">
      <c r="A7" s="42" t="s">
        <v>110</v>
      </c>
      <c r="B7" s="51"/>
      <c r="C7" s="51">
        <v>102</v>
      </c>
      <c r="D7" s="51"/>
      <c r="E7" s="51"/>
      <c r="F7" s="51">
        <v>102</v>
      </c>
      <c r="G7" s="51">
        <v>102</v>
      </c>
      <c r="H7" s="51">
        <v>306</v>
      </c>
      <c r="I7" s="51"/>
      <c r="J7" s="51"/>
      <c r="K7" s="51"/>
      <c r="L7" s="51"/>
      <c r="M7" s="51"/>
      <c r="N7" s="43">
        <f t="shared" si="0"/>
        <v>612</v>
      </c>
      <c r="O7" s="44">
        <f t="shared" si="1"/>
        <v>5.0817687311961073E-4</v>
      </c>
    </row>
    <row r="8" spans="1:15" s="54" customFormat="1" ht="16.8" x14ac:dyDescent="0.4">
      <c r="A8" s="42" t="s">
        <v>215</v>
      </c>
      <c r="B8" s="51">
        <v>10880</v>
      </c>
      <c r="C8" s="51">
        <v>11696</v>
      </c>
      <c r="D8" s="51">
        <v>12648</v>
      </c>
      <c r="E8" s="51">
        <v>13600</v>
      </c>
      <c r="F8" s="51">
        <v>18496</v>
      </c>
      <c r="G8" s="51">
        <v>13872</v>
      </c>
      <c r="H8" s="51">
        <v>15368</v>
      </c>
      <c r="I8" s="51">
        <v>13192</v>
      </c>
      <c r="J8" s="51">
        <v>12104</v>
      </c>
      <c r="K8" s="51">
        <v>12784</v>
      </c>
      <c r="L8" s="51">
        <v>11016</v>
      </c>
      <c r="M8" s="51">
        <v>10880</v>
      </c>
      <c r="N8" s="43">
        <f t="shared" si="0"/>
        <v>156536</v>
      </c>
      <c r="O8" s="44">
        <f t="shared" si="1"/>
        <v>0.12998035132459376</v>
      </c>
    </row>
    <row r="9" spans="1:15" s="54" customFormat="1" ht="16.8" x14ac:dyDescent="0.4">
      <c r="A9" s="42" t="s">
        <v>216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43">
        <f t="shared" si="0"/>
        <v>0</v>
      </c>
      <c r="O9" s="44">
        <f t="shared" si="1"/>
        <v>0</v>
      </c>
    </row>
    <row r="10" spans="1:15" s="54" customFormat="1" ht="16.8" x14ac:dyDescent="0.4">
      <c r="A10" s="42" t="s">
        <v>156</v>
      </c>
      <c r="B10" s="52"/>
      <c r="C10" s="52"/>
      <c r="D10" s="52"/>
      <c r="E10" s="52"/>
      <c r="F10" s="52">
        <v>365</v>
      </c>
      <c r="G10" s="52">
        <v>960</v>
      </c>
      <c r="H10" s="52">
        <v>1590</v>
      </c>
      <c r="I10" s="52">
        <v>1240</v>
      </c>
      <c r="J10" s="52">
        <v>715</v>
      </c>
      <c r="K10" s="52"/>
      <c r="L10" s="52"/>
      <c r="M10" s="52"/>
      <c r="N10" s="43">
        <f t="shared" si="0"/>
        <v>4870</v>
      </c>
      <c r="O10" s="44">
        <f t="shared" si="1"/>
        <v>4.0438257713929808E-3</v>
      </c>
    </row>
    <row r="11" spans="1:15" s="54" customFormat="1" ht="16.8" x14ac:dyDescent="0.4">
      <c r="A11" s="42" t="s">
        <v>184</v>
      </c>
      <c r="B11" s="52">
        <v>124</v>
      </c>
      <c r="C11" s="52">
        <v>84</v>
      </c>
      <c r="D11" s="52">
        <v>196</v>
      </c>
      <c r="E11" s="52">
        <v>652</v>
      </c>
      <c r="F11" s="52">
        <v>488</v>
      </c>
      <c r="G11" s="52"/>
      <c r="H11" s="52"/>
      <c r="I11" s="52"/>
      <c r="J11" s="52"/>
      <c r="K11" s="52">
        <v>236</v>
      </c>
      <c r="L11" s="52">
        <v>148</v>
      </c>
      <c r="M11" s="52">
        <v>44</v>
      </c>
      <c r="N11" s="52">
        <f t="shared" si="0"/>
        <v>1972</v>
      </c>
      <c r="O11" s="44">
        <f t="shared" si="1"/>
        <v>1.6374588133854122E-3</v>
      </c>
    </row>
    <row r="12" spans="1:15" s="54" customFormat="1" ht="16.8" x14ac:dyDescent="0.4">
      <c r="A12" s="42" t="s">
        <v>111</v>
      </c>
      <c r="B12" s="52">
        <v>4757</v>
      </c>
      <c r="C12" s="52">
        <v>4958</v>
      </c>
      <c r="D12" s="52">
        <v>4690</v>
      </c>
      <c r="E12" s="52">
        <v>5360</v>
      </c>
      <c r="F12" s="52">
        <v>7437</v>
      </c>
      <c r="G12" s="52">
        <v>6834</v>
      </c>
      <c r="H12" s="52">
        <v>8576</v>
      </c>
      <c r="I12" s="52">
        <v>6700</v>
      </c>
      <c r="J12" s="52">
        <v>6968</v>
      </c>
      <c r="K12" s="52">
        <v>6231</v>
      </c>
      <c r="L12" s="52">
        <v>5494</v>
      </c>
      <c r="M12" s="52">
        <v>5628</v>
      </c>
      <c r="N12" s="52">
        <f t="shared" si="0"/>
        <v>73633</v>
      </c>
      <c r="O12" s="44">
        <f t="shared" si="1"/>
        <v>6.1141483167346883E-2</v>
      </c>
    </row>
    <row r="13" spans="1:15" s="54" customFormat="1" ht="16.8" x14ac:dyDescent="0.4">
      <c r="A13" s="42" t="s">
        <v>157</v>
      </c>
      <c r="B13" s="52"/>
      <c r="C13" s="52"/>
      <c r="D13" s="52"/>
      <c r="E13" s="52"/>
      <c r="F13" s="52">
        <v>4564</v>
      </c>
      <c r="G13" s="52">
        <v>10896</v>
      </c>
      <c r="H13" s="52">
        <v>18224</v>
      </c>
      <c r="I13" s="52">
        <v>16204</v>
      </c>
      <c r="J13" s="52">
        <v>11064</v>
      </c>
      <c r="K13" s="52"/>
      <c r="L13" s="52"/>
      <c r="M13" s="52"/>
      <c r="N13" s="52">
        <f t="shared" si="0"/>
        <v>60952</v>
      </c>
      <c r="O13" s="44">
        <f t="shared" si="1"/>
        <v>5.0611759428736129E-2</v>
      </c>
    </row>
    <row r="14" spans="1:15" s="54" customFormat="1" ht="16.8" x14ac:dyDescent="0.4">
      <c r="A14" s="42" t="s">
        <v>180</v>
      </c>
      <c r="B14" s="52">
        <v>4734</v>
      </c>
      <c r="C14" s="52">
        <v>4548</v>
      </c>
      <c r="D14" s="52">
        <v>5481</v>
      </c>
      <c r="E14" s="52">
        <v>7290</v>
      </c>
      <c r="F14" s="52">
        <v>4185</v>
      </c>
      <c r="G14" s="52"/>
      <c r="H14" s="52"/>
      <c r="I14" s="52"/>
      <c r="J14" s="52"/>
      <c r="K14" s="52">
        <v>5652</v>
      </c>
      <c r="L14" s="52">
        <v>6129</v>
      </c>
      <c r="M14" s="52">
        <v>5841</v>
      </c>
      <c r="N14" s="52">
        <f t="shared" si="0"/>
        <v>43860</v>
      </c>
      <c r="O14" s="44">
        <f t="shared" si="1"/>
        <v>3.64193425735721E-2</v>
      </c>
    </row>
    <row r="15" spans="1:15" s="54" customFormat="1" ht="16.8" x14ac:dyDescent="0.4">
      <c r="A15" s="42" t="s">
        <v>113</v>
      </c>
      <c r="B15" s="52"/>
      <c r="C15" s="52"/>
      <c r="D15" s="52"/>
      <c r="E15" s="52"/>
      <c r="F15" s="52">
        <v>15384</v>
      </c>
      <c r="G15" s="52">
        <v>34164</v>
      </c>
      <c r="H15" s="52">
        <v>44268</v>
      </c>
      <c r="I15" s="52">
        <v>41316</v>
      </c>
      <c r="J15" s="52">
        <v>31116</v>
      </c>
      <c r="K15" s="52"/>
      <c r="L15" s="52"/>
      <c r="M15" s="52"/>
      <c r="N15" s="52">
        <f t="shared" si="0"/>
        <v>166248</v>
      </c>
      <c r="O15" s="44">
        <f t="shared" si="1"/>
        <v>0.13804475294508012</v>
      </c>
    </row>
    <row r="16" spans="1:15" s="54" customFormat="1" ht="16.8" x14ac:dyDescent="0.4">
      <c r="A16" s="42" t="s">
        <v>179</v>
      </c>
      <c r="B16" s="52">
        <v>22190</v>
      </c>
      <c r="C16" s="52">
        <v>21370</v>
      </c>
      <c r="D16" s="52">
        <v>24790</v>
      </c>
      <c r="E16" s="52">
        <v>28980</v>
      </c>
      <c r="F16" s="52">
        <v>16640</v>
      </c>
      <c r="G16" s="52"/>
      <c r="H16" s="52"/>
      <c r="I16" s="52"/>
      <c r="J16" s="52"/>
      <c r="K16" s="52">
        <v>22160</v>
      </c>
      <c r="L16" s="52">
        <v>22350</v>
      </c>
      <c r="M16" s="52">
        <v>24870</v>
      </c>
      <c r="N16" s="52">
        <f t="shared" si="0"/>
        <v>183350</v>
      </c>
      <c r="O16" s="44">
        <f t="shared" si="1"/>
        <v>0.15224547334392258</v>
      </c>
    </row>
    <row r="17" spans="1:15" s="54" customFormat="1" ht="16.8" x14ac:dyDescent="0.4">
      <c r="A17" s="42" t="s">
        <v>114</v>
      </c>
      <c r="B17" s="52">
        <v>120</v>
      </c>
      <c r="C17" s="52">
        <v>740</v>
      </c>
      <c r="D17" s="52">
        <v>500</v>
      </c>
      <c r="E17" s="52">
        <v>120</v>
      </c>
      <c r="F17" s="52">
        <v>220</v>
      </c>
      <c r="G17" s="52">
        <v>1240</v>
      </c>
      <c r="H17" s="52">
        <v>620</v>
      </c>
      <c r="I17" s="52">
        <v>124</v>
      </c>
      <c r="J17" s="52"/>
      <c r="K17" s="52"/>
      <c r="L17" s="52"/>
      <c r="M17" s="52">
        <v>120</v>
      </c>
      <c r="N17" s="52">
        <f t="shared" si="0"/>
        <v>3804</v>
      </c>
      <c r="O17" s="44">
        <f t="shared" si="1"/>
        <v>3.1586680152728744E-3</v>
      </c>
    </row>
    <row r="18" spans="1:15" s="54" customFormat="1" ht="16.8" x14ac:dyDescent="0.4">
      <c r="A18" s="42" t="s">
        <v>7</v>
      </c>
      <c r="B18" s="52"/>
      <c r="C18" s="52"/>
      <c r="D18" s="52"/>
      <c r="E18" s="52"/>
      <c r="F18" s="52">
        <v>190</v>
      </c>
      <c r="G18" s="52">
        <v>1235</v>
      </c>
      <c r="H18" s="52">
        <v>760</v>
      </c>
      <c r="I18" s="52">
        <v>95</v>
      </c>
      <c r="J18" s="52">
        <v>95</v>
      </c>
      <c r="K18" s="52">
        <v>95</v>
      </c>
      <c r="L18" s="52"/>
      <c r="M18" s="52"/>
      <c r="N18" s="52">
        <f t="shared" si="0"/>
        <v>2470</v>
      </c>
      <c r="O18" s="44">
        <f t="shared" si="1"/>
        <v>2.0509752885709779E-3</v>
      </c>
    </row>
    <row r="19" spans="1:15" s="54" customFormat="1" ht="16.8" x14ac:dyDescent="0.4">
      <c r="A19" s="42" t="s">
        <v>158</v>
      </c>
      <c r="B19" s="52"/>
      <c r="C19" s="52"/>
      <c r="D19" s="52"/>
      <c r="E19" s="52"/>
      <c r="F19" s="52">
        <v>128</v>
      </c>
      <c r="G19" s="52">
        <v>208</v>
      </c>
      <c r="H19" s="52">
        <v>432</v>
      </c>
      <c r="I19" s="52">
        <v>392</v>
      </c>
      <c r="J19" s="52">
        <v>280</v>
      </c>
      <c r="K19" s="52"/>
      <c r="L19" s="52"/>
      <c r="M19" s="52"/>
      <c r="N19" s="52">
        <f t="shared" si="0"/>
        <v>1440</v>
      </c>
      <c r="O19" s="44">
        <f t="shared" si="1"/>
        <v>1.1957102896932017E-3</v>
      </c>
    </row>
    <row r="20" spans="1:15" s="54" customFormat="1" ht="16.8" x14ac:dyDescent="0.4">
      <c r="A20" s="42" t="s">
        <v>185</v>
      </c>
      <c r="B20" s="52">
        <v>36</v>
      </c>
      <c r="C20" s="52">
        <v>54</v>
      </c>
      <c r="D20" s="52">
        <v>96</v>
      </c>
      <c r="E20" s="52">
        <v>132</v>
      </c>
      <c r="F20" s="52">
        <v>102</v>
      </c>
      <c r="G20" s="52"/>
      <c r="H20" s="52"/>
      <c r="I20" s="52"/>
      <c r="J20" s="52"/>
      <c r="K20" s="52">
        <v>102</v>
      </c>
      <c r="L20" s="52">
        <v>36</v>
      </c>
      <c r="M20" s="52">
        <v>6</v>
      </c>
      <c r="N20" s="52">
        <f t="shared" si="0"/>
        <v>564</v>
      </c>
      <c r="O20" s="44">
        <f t="shared" si="1"/>
        <v>4.6831986346317062E-4</v>
      </c>
    </row>
    <row r="21" spans="1:15" s="54" customFormat="1" ht="16.8" x14ac:dyDescent="0.4">
      <c r="A21" s="42" t="s">
        <v>10</v>
      </c>
      <c r="B21" s="52">
        <v>99</v>
      </c>
      <c r="C21" s="52">
        <v>104.5</v>
      </c>
      <c r="D21" s="52">
        <v>126.5</v>
      </c>
      <c r="E21" s="52">
        <v>82.5</v>
      </c>
      <c r="F21" s="52">
        <v>110</v>
      </c>
      <c r="G21" s="52">
        <v>88</v>
      </c>
      <c r="H21" s="52"/>
      <c r="I21" s="52"/>
      <c r="J21" s="52">
        <v>93.5</v>
      </c>
      <c r="K21" s="52">
        <v>110</v>
      </c>
      <c r="L21" s="52">
        <v>104.5</v>
      </c>
      <c r="M21" s="52">
        <v>77</v>
      </c>
      <c r="N21" s="52">
        <f>SUM(B21:M21)</f>
        <v>995.5</v>
      </c>
      <c r="O21" s="44">
        <f t="shared" si="1"/>
        <v>8.2661777318720987E-4</v>
      </c>
    </row>
    <row r="22" spans="1:15" s="54" customFormat="1" ht="16.8" x14ac:dyDescent="0.4">
      <c r="A22" s="42" t="s">
        <v>11</v>
      </c>
      <c r="B22" s="52"/>
      <c r="C22" s="52">
        <v>6</v>
      </c>
      <c r="D22" s="52">
        <v>6</v>
      </c>
      <c r="E22" s="52"/>
      <c r="F22" s="52">
        <v>18</v>
      </c>
      <c r="G22" s="52">
        <v>12</v>
      </c>
      <c r="H22" s="52">
        <v>24</v>
      </c>
      <c r="I22" s="52">
        <v>12</v>
      </c>
      <c r="J22" s="52">
        <v>36</v>
      </c>
      <c r="K22" s="52">
        <v>18</v>
      </c>
      <c r="L22" s="52">
        <v>12</v>
      </c>
      <c r="M22" s="52">
        <v>6</v>
      </c>
      <c r="N22" s="52">
        <f t="shared" si="0"/>
        <v>150</v>
      </c>
      <c r="O22" s="44">
        <f t="shared" si="1"/>
        <v>1.2455315517637518E-4</v>
      </c>
    </row>
    <row r="23" spans="1:15" s="54" customFormat="1" ht="16.8" x14ac:dyDescent="0.4">
      <c r="A23" s="42" t="s">
        <v>159</v>
      </c>
      <c r="B23" s="52"/>
      <c r="C23" s="52"/>
      <c r="D23" s="52"/>
      <c r="E23" s="52"/>
      <c r="F23" s="52">
        <v>4110</v>
      </c>
      <c r="G23" s="52">
        <v>10030</v>
      </c>
      <c r="H23" s="52">
        <v>11950</v>
      </c>
      <c r="I23" s="52">
        <v>11760</v>
      </c>
      <c r="J23" s="52">
        <v>10420</v>
      </c>
      <c r="K23" s="52"/>
      <c r="L23" s="52"/>
      <c r="M23" s="52"/>
      <c r="N23" s="52">
        <f>SUM(B23:M23)</f>
        <v>48270</v>
      </c>
      <c r="O23" s="44">
        <f t="shared" si="1"/>
        <v>4.0081205335757528E-2</v>
      </c>
    </row>
    <row r="24" spans="1:15" s="54" customFormat="1" ht="16.8" x14ac:dyDescent="0.4">
      <c r="A24" s="42" t="s">
        <v>181</v>
      </c>
      <c r="B24" s="52">
        <v>5848</v>
      </c>
      <c r="C24" s="52">
        <v>6040</v>
      </c>
      <c r="D24" s="52">
        <v>6936</v>
      </c>
      <c r="E24" s="52">
        <v>8200</v>
      </c>
      <c r="F24" s="52">
        <v>5360</v>
      </c>
      <c r="G24" s="52"/>
      <c r="H24" s="52"/>
      <c r="I24" s="52"/>
      <c r="J24" s="52"/>
      <c r="K24" s="52">
        <v>6912</v>
      </c>
      <c r="L24" s="52">
        <v>6472</v>
      </c>
      <c r="M24" s="52">
        <v>6472</v>
      </c>
      <c r="N24" s="52">
        <f>SUM(B24:M24)</f>
        <v>52240</v>
      </c>
      <c r="O24" s="44">
        <f t="shared" si="1"/>
        <v>4.3377712176092258E-2</v>
      </c>
    </row>
    <row r="25" spans="1:15" s="54" customFormat="1" ht="16.8" x14ac:dyDescent="0.4">
      <c r="A25" s="42" t="s">
        <v>211</v>
      </c>
      <c r="B25" s="52"/>
      <c r="C25" s="52"/>
      <c r="D25" s="52"/>
      <c r="E25" s="52"/>
      <c r="F25" s="52">
        <v>1720</v>
      </c>
      <c r="G25" s="52">
        <v>3470</v>
      </c>
      <c r="H25" s="52">
        <v>6552.5</v>
      </c>
      <c r="I25" s="52">
        <v>6045</v>
      </c>
      <c r="J25" s="52">
        <v>3235</v>
      </c>
      <c r="K25" s="52"/>
      <c r="L25" s="52"/>
      <c r="M25" s="52"/>
      <c r="N25" s="52">
        <f>SUM(B25:M25)</f>
        <v>21022.5</v>
      </c>
      <c r="O25" s="44">
        <f t="shared" si="1"/>
        <v>1.7456124697968981E-2</v>
      </c>
    </row>
    <row r="26" spans="1:15" s="54" customFormat="1" ht="16.8" x14ac:dyDescent="0.4">
      <c r="A26" s="42" t="s">
        <v>212</v>
      </c>
      <c r="B26" s="52">
        <v>1294</v>
      </c>
      <c r="C26" s="52">
        <v>1456</v>
      </c>
      <c r="D26" s="52">
        <v>1670</v>
      </c>
      <c r="E26" s="52">
        <v>2560</v>
      </c>
      <c r="F26" s="52">
        <v>1318</v>
      </c>
      <c r="G26" s="52"/>
      <c r="H26" s="52"/>
      <c r="I26" s="52"/>
      <c r="J26" s="52"/>
      <c r="K26" s="52">
        <v>1510</v>
      </c>
      <c r="L26" s="52">
        <v>1640</v>
      </c>
      <c r="M26" s="52">
        <v>1602</v>
      </c>
      <c r="N26" s="52">
        <f>SUM(B26:M26)</f>
        <v>13050</v>
      </c>
      <c r="O26" s="44">
        <f t="shared" si="1"/>
        <v>1.083612450034464E-2</v>
      </c>
    </row>
    <row r="27" spans="1:15" s="54" customFormat="1" ht="16.8" x14ac:dyDescent="0.4">
      <c r="A27" s="42" t="s">
        <v>186</v>
      </c>
      <c r="B27" s="52"/>
      <c r="C27" s="52"/>
      <c r="D27" s="52"/>
      <c r="E27" s="52"/>
      <c r="F27" s="52">
        <v>14</v>
      </c>
      <c r="G27" s="52">
        <v>42</v>
      </c>
      <c r="H27" s="52">
        <v>70</v>
      </c>
      <c r="I27" s="52">
        <v>56</v>
      </c>
      <c r="J27" s="52">
        <v>98</v>
      </c>
      <c r="K27" s="52"/>
      <c r="L27" s="52"/>
      <c r="M27" s="52"/>
      <c r="N27" s="52">
        <f t="shared" si="0"/>
        <v>280</v>
      </c>
      <c r="O27" s="44">
        <f t="shared" si="1"/>
        <v>2.3249922299590031E-4</v>
      </c>
    </row>
    <row r="28" spans="1:15" s="54" customFormat="1" ht="16.8" x14ac:dyDescent="0.4">
      <c r="A28" s="42" t="s">
        <v>182</v>
      </c>
      <c r="B28" s="52">
        <v>20</v>
      </c>
      <c r="C28" s="52">
        <v>35</v>
      </c>
      <c r="D28" s="52"/>
      <c r="E28" s="52">
        <v>30</v>
      </c>
      <c r="F28" s="52"/>
      <c r="G28" s="52"/>
      <c r="H28" s="52"/>
      <c r="I28" s="52"/>
      <c r="J28" s="52"/>
      <c r="K28" s="52">
        <v>5</v>
      </c>
      <c r="L28" s="52"/>
      <c r="M28" s="52"/>
      <c r="N28" s="52">
        <f t="shared" si="0"/>
        <v>90</v>
      </c>
      <c r="O28" s="44">
        <f t="shared" si="1"/>
        <v>7.4731893105825108E-5</v>
      </c>
    </row>
    <row r="29" spans="1:15" s="54" customFormat="1" ht="16.8" x14ac:dyDescent="0.4">
      <c r="A29" s="42" t="s">
        <v>14</v>
      </c>
      <c r="B29" s="52">
        <v>2520</v>
      </c>
      <c r="C29" s="52">
        <v>2160</v>
      </c>
      <c r="D29" s="52">
        <v>3040</v>
      </c>
      <c r="E29" s="52">
        <v>2880</v>
      </c>
      <c r="F29" s="52">
        <v>3440</v>
      </c>
      <c r="G29" s="52">
        <v>4760</v>
      </c>
      <c r="H29" s="52">
        <v>4120</v>
      </c>
      <c r="I29" s="52">
        <v>3520</v>
      </c>
      <c r="J29" s="52">
        <v>3160</v>
      </c>
      <c r="K29" s="52">
        <v>2880</v>
      </c>
      <c r="L29" s="52">
        <v>2920</v>
      </c>
      <c r="M29" s="52">
        <v>2640</v>
      </c>
      <c r="N29" s="52">
        <f>SUM(B29:M29)</f>
        <v>38040</v>
      </c>
      <c r="O29" s="44">
        <f t="shared" si="1"/>
        <v>3.1586680152728745E-2</v>
      </c>
    </row>
    <row r="30" spans="1:15" s="54" customFormat="1" ht="16.8" x14ac:dyDescent="0.4">
      <c r="A30" s="42" t="s">
        <v>162</v>
      </c>
      <c r="B30" s="52"/>
      <c r="C30" s="52"/>
      <c r="D30" s="52"/>
      <c r="E30" s="52"/>
      <c r="F30" s="52">
        <v>115.5</v>
      </c>
      <c r="G30" s="52">
        <v>248.5</v>
      </c>
      <c r="H30" s="52">
        <v>441</v>
      </c>
      <c r="I30" s="52">
        <v>441</v>
      </c>
      <c r="J30" s="52">
        <v>213.5</v>
      </c>
      <c r="K30" s="52"/>
      <c r="L30" s="52"/>
      <c r="M30" s="52"/>
      <c r="N30" s="52">
        <f t="shared" si="0"/>
        <v>1459.5</v>
      </c>
      <c r="O30" s="44">
        <f t="shared" si="1"/>
        <v>1.2119021998661303E-3</v>
      </c>
    </row>
    <row r="31" spans="1:15" s="54" customFormat="1" ht="16.8" x14ac:dyDescent="0.4">
      <c r="A31" s="42" t="s">
        <v>183</v>
      </c>
      <c r="B31" s="52">
        <v>42</v>
      </c>
      <c r="C31" s="52">
        <v>48</v>
      </c>
      <c r="D31" s="52">
        <v>51</v>
      </c>
      <c r="E31" s="52">
        <v>219</v>
      </c>
      <c r="F31" s="52">
        <v>156</v>
      </c>
      <c r="G31" s="52"/>
      <c r="H31" s="52"/>
      <c r="I31" s="52"/>
      <c r="J31" s="52"/>
      <c r="K31" s="52">
        <v>54</v>
      </c>
      <c r="L31" s="52">
        <v>27</v>
      </c>
      <c r="M31" s="52">
        <v>30</v>
      </c>
      <c r="N31" s="52">
        <f t="shared" si="0"/>
        <v>627</v>
      </c>
      <c r="O31" s="44">
        <f t="shared" si="1"/>
        <v>5.2063218863724822E-4</v>
      </c>
    </row>
    <row r="32" spans="1:15" s="54" customFormat="1" ht="16.8" x14ac:dyDescent="0.4">
      <c r="A32" s="42" t="s">
        <v>196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>
        <f t="shared" si="0"/>
        <v>0</v>
      </c>
      <c r="O32" s="44">
        <f t="shared" si="1"/>
        <v>0</v>
      </c>
    </row>
    <row r="33" spans="1:15" s="54" customFormat="1" ht="16.8" x14ac:dyDescent="0.4">
      <c r="A33" s="42" t="s">
        <v>163</v>
      </c>
      <c r="B33" s="52"/>
      <c r="C33" s="52"/>
      <c r="D33" s="52"/>
      <c r="E33" s="52"/>
      <c r="F33" s="52">
        <v>1296</v>
      </c>
      <c r="G33" s="52">
        <v>4960</v>
      </c>
      <c r="H33" s="52">
        <v>4192</v>
      </c>
      <c r="I33" s="52">
        <v>4400</v>
      </c>
      <c r="J33" s="52">
        <v>3488</v>
      </c>
      <c r="K33" s="52"/>
      <c r="L33" s="52"/>
      <c r="M33" s="52"/>
      <c r="N33" s="52">
        <f t="shared" si="0"/>
        <v>18336</v>
      </c>
      <c r="O33" s="44">
        <f t="shared" si="1"/>
        <v>1.5225377688760101E-2</v>
      </c>
    </row>
    <row r="34" spans="1:15" s="54" customFormat="1" ht="16.8" x14ac:dyDescent="0.4">
      <c r="A34" s="42" t="s">
        <v>187</v>
      </c>
      <c r="B34" s="52">
        <v>1911</v>
      </c>
      <c r="C34" s="52">
        <v>2119</v>
      </c>
      <c r="D34" s="52">
        <v>2860</v>
      </c>
      <c r="E34" s="52">
        <v>2938</v>
      </c>
      <c r="F34" s="52">
        <v>1456</v>
      </c>
      <c r="G34" s="52"/>
      <c r="H34" s="52"/>
      <c r="I34" s="52"/>
      <c r="J34" s="52"/>
      <c r="K34" s="52">
        <v>2886</v>
      </c>
      <c r="L34" s="52">
        <v>3263</v>
      </c>
      <c r="M34" s="52">
        <v>1937</v>
      </c>
      <c r="N34" s="52">
        <f t="shared" si="0"/>
        <v>19370</v>
      </c>
      <c r="O34" s="44">
        <f t="shared" si="1"/>
        <v>1.6083964105109247E-2</v>
      </c>
    </row>
    <row r="35" spans="1:15" s="54" customFormat="1" ht="16.8" x14ac:dyDescent="0.4">
      <c r="A35" s="42" t="s">
        <v>164</v>
      </c>
      <c r="B35" s="52"/>
      <c r="C35" s="52"/>
      <c r="D35" s="52"/>
      <c r="E35" s="52"/>
      <c r="F35" s="52">
        <v>897</v>
      </c>
      <c r="G35" s="52">
        <v>3427</v>
      </c>
      <c r="H35" s="52">
        <v>2898</v>
      </c>
      <c r="I35" s="52">
        <v>2369</v>
      </c>
      <c r="J35" s="52">
        <v>2277</v>
      </c>
      <c r="K35" s="52"/>
      <c r="L35" s="52"/>
      <c r="M35" s="52"/>
      <c r="N35" s="52">
        <f t="shared" si="0"/>
        <v>11868</v>
      </c>
      <c r="O35" s="44">
        <f t="shared" si="1"/>
        <v>9.8546456375548028E-3</v>
      </c>
    </row>
    <row r="36" spans="1:15" s="54" customFormat="1" ht="16.8" x14ac:dyDescent="0.4">
      <c r="A36" s="42" t="s">
        <v>188</v>
      </c>
      <c r="B36" s="52">
        <v>1691</v>
      </c>
      <c r="C36" s="52">
        <v>1254</v>
      </c>
      <c r="D36" s="52">
        <v>2964</v>
      </c>
      <c r="E36" s="52">
        <v>3135</v>
      </c>
      <c r="F36" s="52">
        <v>1653</v>
      </c>
      <c r="G36" s="52"/>
      <c r="H36" s="52"/>
      <c r="I36" s="52"/>
      <c r="J36" s="52"/>
      <c r="K36" s="52">
        <v>2451</v>
      </c>
      <c r="L36" s="52">
        <v>1881</v>
      </c>
      <c r="M36" s="52">
        <v>2204</v>
      </c>
      <c r="N36" s="52">
        <f t="shared" si="0"/>
        <v>17233</v>
      </c>
      <c r="O36" s="44">
        <f t="shared" si="1"/>
        <v>1.4309496821029822E-2</v>
      </c>
    </row>
    <row r="37" spans="1:15" s="54" customFormat="1" ht="16.8" x14ac:dyDescent="0.4">
      <c r="A37" s="42" t="s">
        <v>165</v>
      </c>
      <c r="B37" s="52"/>
      <c r="C37" s="52"/>
      <c r="D37" s="52"/>
      <c r="E37" s="52"/>
      <c r="F37" s="52">
        <v>720</v>
      </c>
      <c r="G37" s="52">
        <v>2490</v>
      </c>
      <c r="H37" s="52">
        <v>2490</v>
      </c>
      <c r="I37" s="52">
        <v>2430</v>
      </c>
      <c r="J37" s="52">
        <v>2250</v>
      </c>
      <c r="K37" s="52"/>
      <c r="L37" s="52"/>
      <c r="M37" s="52"/>
      <c r="N37" s="52">
        <f t="shared" si="0"/>
        <v>10380</v>
      </c>
      <c r="O37" s="44">
        <f t="shared" si="1"/>
        <v>8.6190783382051623E-3</v>
      </c>
    </row>
    <row r="38" spans="1:15" s="54" customFormat="1" ht="16.8" x14ac:dyDescent="0.4">
      <c r="A38" s="42" t="s">
        <v>189</v>
      </c>
      <c r="B38" s="52">
        <v>900</v>
      </c>
      <c r="C38" s="52">
        <v>1125</v>
      </c>
      <c r="D38" s="52">
        <v>1300</v>
      </c>
      <c r="E38" s="52">
        <v>1950</v>
      </c>
      <c r="F38" s="52">
        <v>800</v>
      </c>
      <c r="G38" s="52"/>
      <c r="H38" s="52"/>
      <c r="I38" s="52"/>
      <c r="J38" s="52"/>
      <c r="K38" s="52">
        <v>1325</v>
      </c>
      <c r="L38" s="52">
        <v>1225</v>
      </c>
      <c r="M38" s="52">
        <v>975</v>
      </c>
      <c r="N38" s="52">
        <f t="shared" si="0"/>
        <v>9600</v>
      </c>
      <c r="O38" s="44">
        <f t="shared" si="1"/>
        <v>7.9714019312880115E-3</v>
      </c>
    </row>
    <row r="39" spans="1:15" s="54" customFormat="1" ht="16.8" x14ac:dyDescent="0.4">
      <c r="A39" s="42" t="s">
        <v>166</v>
      </c>
      <c r="B39" s="52"/>
      <c r="C39" s="52"/>
      <c r="D39" s="52"/>
      <c r="E39" s="52"/>
      <c r="F39" s="52">
        <v>975</v>
      </c>
      <c r="G39" s="52">
        <v>3510</v>
      </c>
      <c r="H39" s="52">
        <v>3900</v>
      </c>
      <c r="I39" s="52">
        <v>2535</v>
      </c>
      <c r="J39" s="52">
        <v>2145</v>
      </c>
      <c r="K39" s="52"/>
      <c r="L39" s="52"/>
      <c r="M39" s="52"/>
      <c r="N39" s="52">
        <f t="shared" si="0"/>
        <v>13065</v>
      </c>
      <c r="O39" s="44">
        <f t="shared" si="1"/>
        <v>1.0848579815862278E-2</v>
      </c>
    </row>
    <row r="40" spans="1:15" s="54" customFormat="1" ht="16.8" x14ac:dyDescent="0.4">
      <c r="A40" s="42" t="s">
        <v>190</v>
      </c>
      <c r="B40" s="52">
        <v>992</v>
      </c>
      <c r="C40" s="52">
        <v>576</v>
      </c>
      <c r="D40" s="52">
        <v>1504</v>
      </c>
      <c r="E40" s="52">
        <v>1920</v>
      </c>
      <c r="F40" s="52">
        <v>736</v>
      </c>
      <c r="G40" s="52"/>
      <c r="H40" s="52"/>
      <c r="I40" s="52"/>
      <c r="J40" s="52"/>
      <c r="K40" s="52">
        <v>1280</v>
      </c>
      <c r="L40" s="52">
        <v>1408</v>
      </c>
      <c r="M40" s="52">
        <v>1024</v>
      </c>
      <c r="N40" s="52">
        <f t="shared" si="0"/>
        <v>9440</v>
      </c>
      <c r="O40" s="44">
        <f t="shared" si="1"/>
        <v>7.8385452324332104E-3</v>
      </c>
    </row>
    <row r="41" spans="1:15" s="54" customFormat="1" ht="16.8" x14ac:dyDescent="0.4">
      <c r="A41" s="42" t="s">
        <v>167</v>
      </c>
      <c r="B41" s="52"/>
      <c r="C41" s="52"/>
      <c r="D41" s="52"/>
      <c r="E41" s="52"/>
      <c r="F41" s="52">
        <v>490</v>
      </c>
      <c r="G41" s="52">
        <v>1225</v>
      </c>
      <c r="H41" s="52">
        <v>1372</v>
      </c>
      <c r="I41" s="52">
        <v>2107</v>
      </c>
      <c r="J41" s="52">
        <v>1078</v>
      </c>
      <c r="K41" s="52"/>
      <c r="L41" s="52"/>
      <c r="M41" s="52"/>
      <c r="N41" s="52">
        <f t="shared" si="0"/>
        <v>6272</v>
      </c>
      <c r="O41" s="44">
        <f t="shared" si="1"/>
        <v>5.2079825951081675E-3</v>
      </c>
    </row>
    <row r="42" spans="1:15" s="54" customFormat="1" ht="16.8" x14ac:dyDescent="0.4">
      <c r="A42" s="42" t="s">
        <v>191</v>
      </c>
      <c r="B42" s="52">
        <v>280</v>
      </c>
      <c r="C42" s="52">
        <v>280</v>
      </c>
      <c r="D42" s="52">
        <v>440</v>
      </c>
      <c r="E42" s="52">
        <v>760</v>
      </c>
      <c r="F42" s="52">
        <v>480</v>
      </c>
      <c r="G42" s="52"/>
      <c r="H42" s="52"/>
      <c r="I42" s="52"/>
      <c r="J42" s="52"/>
      <c r="K42" s="52">
        <v>840</v>
      </c>
      <c r="L42" s="52">
        <v>680</v>
      </c>
      <c r="M42" s="52">
        <v>320</v>
      </c>
      <c r="N42" s="52">
        <f t="shared" si="0"/>
        <v>4080</v>
      </c>
      <c r="O42" s="44">
        <f t="shared" si="1"/>
        <v>3.3878458207974044E-3</v>
      </c>
    </row>
    <row r="43" spans="1:15" s="54" customFormat="1" ht="16.8" x14ac:dyDescent="0.4">
      <c r="A43" s="42" t="s">
        <v>168</v>
      </c>
      <c r="B43" s="52"/>
      <c r="C43" s="52"/>
      <c r="D43" s="52"/>
      <c r="E43" s="52"/>
      <c r="F43" s="52">
        <v>180</v>
      </c>
      <c r="G43" s="52">
        <v>660</v>
      </c>
      <c r="H43" s="52">
        <v>960</v>
      </c>
      <c r="I43" s="52">
        <v>840</v>
      </c>
      <c r="J43" s="52">
        <v>480</v>
      </c>
      <c r="K43" s="52"/>
      <c r="L43" s="52"/>
      <c r="M43" s="52"/>
      <c r="N43" s="52">
        <f t="shared" si="0"/>
        <v>3120</v>
      </c>
      <c r="O43" s="44">
        <f t="shared" si="1"/>
        <v>2.5907056276686037E-3</v>
      </c>
    </row>
    <row r="44" spans="1:15" s="54" customFormat="1" ht="16.8" x14ac:dyDescent="0.4">
      <c r="A44" s="42" t="s">
        <v>192</v>
      </c>
      <c r="B44" s="52">
        <v>147</v>
      </c>
      <c r="C44" s="52">
        <v>147</v>
      </c>
      <c r="D44" s="52">
        <v>343</v>
      </c>
      <c r="E44" s="52">
        <v>392</v>
      </c>
      <c r="F44" s="52">
        <v>245</v>
      </c>
      <c r="G44" s="52"/>
      <c r="H44" s="52"/>
      <c r="I44" s="52"/>
      <c r="J44" s="52"/>
      <c r="K44" s="52">
        <v>392</v>
      </c>
      <c r="L44" s="52">
        <v>294</v>
      </c>
      <c r="M44" s="52">
        <v>196</v>
      </c>
      <c r="N44" s="52">
        <f t="shared" si="0"/>
        <v>2156</v>
      </c>
      <c r="O44" s="44">
        <f t="shared" si="1"/>
        <v>1.7902440170684325E-3</v>
      </c>
    </row>
    <row r="45" spans="1:15" s="54" customFormat="1" ht="16.8" x14ac:dyDescent="0.4">
      <c r="A45" s="42" t="s">
        <v>169</v>
      </c>
      <c r="B45" s="52"/>
      <c r="C45" s="52"/>
      <c r="D45" s="52"/>
      <c r="E45" s="52"/>
      <c r="F45" s="52">
        <v>144</v>
      </c>
      <c r="G45" s="52">
        <v>216</v>
      </c>
      <c r="H45" s="52">
        <v>288</v>
      </c>
      <c r="I45" s="52">
        <v>72</v>
      </c>
      <c r="J45" s="52">
        <v>144</v>
      </c>
      <c r="K45" s="52"/>
      <c r="L45" s="52"/>
      <c r="M45" s="52"/>
      <c r="N45" s="52">
        <f t="shared" si="0"/>
        <v>864</v>
      </c>
      <c r="O45" s="44">
        <f t="shared" si="1"/>
        <v>7.1742617381592103E-4</v>
      </c>
    </row>
    <row r="46" spans="1:15" s="54" customFormat="1" ht="16.8" x14ac:dyDescent="0.4">
      <c r="A46" s="42" t="s">
        <v>193</v>
      </c>
      <c r="B46" s="52">
        <v>59</v>
      </c>
      <c r="C46" s="52">
        <v>118</v>
      </c>
      <c r="D46" s="52"/>
      <c r="E46" s="52">
        <v>295</v>
      </c>
      <c r="F46" s="52">
        <v>118</v>
      </c>
      <c r="G46" s="52"/>
      <c r="H46" s="52"/>
      <c r="I46" s="52"/>
      <c r="J46" s="52"/>
      <c r="K46" s="52">
        <v>177</v>
      </c>
      <c r="L46" s="52">
        <v>59</v>
      </c>
      <c r="M46" s="52">
        <v>59</v>
      </c>
      <c r="N46" s="52">
        <f t="shared" si="0"/>
        <v>885</v>
      </c>
      <c r="O46" s="44">
        <f t="shared" si="1"/>
        <v>7.3486361554061348E-4</v>
      </c>
    </row>
    <row r="47" spans="1:15" s="54" customFormat="1" ht="16.8" x14ac:dyDescent="0.4">
      <c r="A47" s="42" t="s">
        <v>170</v>
      </c>
      <c r="B47" s="52"/>
      <c r="C47" s="52"/>
      <c r="D47" s="52"/>
      <c r="E47" s="52"/>
      <c r="F47" s="52">
        <v>84</v>
      </c>
      <c r="G47" s="52">
        <v>168</v>
      </c>
      <c r="H47" s="52"/>
      <c r="I47" s="52">
        <v>168</v>
      </c>
      <c r="J47" s="52"/>
      <c r="K47" s="52"/>
      <c r="L47" s="52"/>
      <c r="M47" s="52"/>
      <c r="N47" s="52">
        <f t="shared" si="0"/>
        <v>420</v>
      </c>
      <c r="O47" s="44">
        <f t="shared" si="1"/>
        <v>3.487488344938505E-4</v>
      </c>
    </row>
    <row r="48" spans="1:15" s="54" customFormat="1" ht="16.8" x14ac:dyDescent="0.4">
      <c r="A48" s="42" t="s">
        <v>194</v>
      </c>
      <c r="B48" s="52"/>
      <c r="C48" s="52">
        <v>69</v>
      </c>
      <c r="D48" s="52">
        <v>207</v>
      </c>
      <c r="E48" s="52">
        <v>69</v>
      </c>
      <c r="F48" s="52"/>
      <c r="G48" s="52"/>
      <c r="H48" s="52"/>
      <c r="I48" s="52"/>
      <c r="J48" s="52"/>
      <c r="K48" s="52">
        <v>138</v>
      </c>
      <c r="L48" s="52">
        <v>138</v>
      </c>
      <c r="M48" s="52">
        <v>69</v>
      </c>
      <c r="N48" s="52">
        <f t="shared" si="0"/>
        <v>690</v>
      </c>
      <c r="O48" s="44">
        <f t="shared" si="1"/>
        <v>5.7294451381132577E-4</v>
      </c>
    </row>
    <row r="49" spans="1:15" s="54" customFormat="1" ht="16.8" x14ac:dyDescent="0.4">
      <c r="A49" s="42" t="s">
        <v>171</v>
      </c>
      <c r="B49" s="52"/>
      <c r="C49" s="52"/>
      <c r="D49" s="52"/>
      <c r="E49" s="52"/>
      <c r="F49" s="52"/>
      <c r="G49" s="52">
        <v>99</v>
      </c>
      <c r="H49" s="52">
        <v>297</v>
      </c>
      <c r="I49" s="52">
        <v>99</v>
      </c>
      <c r="J49" s="52">
        <v>693</v>
      </c>
      <c r="K49" s="52"/>
      <c r="L49" s="52"/>
      <c r="M49" s="52"/>
      <c r="N49" s="52">
        <f t="shared" si="0"/>
        <v>1188</v>
      </c>
      <c r="O49" s="44">
        <f t="shared" si="1"/>
        <v>9.8646098899689131E-4</v>
      </c>
    </row>
    <row r="50" spans="1:15" s="54" customFormat="1" ht="16.8" x14ac:dyDescent="0.4">
      <c r="A50" s="42" t="s">
        <v>195</v>
      </c>
      <c r="B50" s="52"/>
      <c r="C50" s="52">
        <v>81</v>
      </c>
      <c r="D50" s="52">
        <v>162</v>
      </c>
      <c r="E50" s="52">
        <v>81</v>
      </c>
      <c r="F50" s="52">
        <v>324</v>
      </c>
      <c r="G50" s="52"/>
      <c r="H50" s="52"/>
      <c r="I50" s="52"/>
      <c r="J50" s="52"/>
      <c r="K50" s="52">
        <v>243</v>
      </c>
      <c r="L50" s="52">
        <v>162</v>
      </c>
      <c r="M50" s="52">
        <v>81</v>
      </c>
      <c r="N50" s="52">
        <f t="shared" si="0"/>
        <v>1134</v>
      </c>
      <c r="O50" s="44">
        <f t="shared" si="1"/>
        <v>9.416218531333963E-4</v>
      </c>
    </row>
    <row r="51" spans="1:15" s="54" customFormat="1" ht="16.8" x14ac:dyDescent="0.4">
      <c r="A51" s="42" t="s">
        <v>198</v>
      </c>
      <c r="B51" s="52">
        <v>10.8</v>
      </c>
      <c r="C51" s="52">
        <v>11.4</v>
      </c>
      <c r="D51" s="52">
        <v>13.8</v>
      </c>
      <c r="E51" s="52">
        <v>9</v>
      </c>
      <c r="F51" s="52">
        <v>12</v>
      </c>
      <c r="G51" s="52">
        <v>9.6</v>
      </c>
      <c r="H51" s="52"/>
      <c r="I51" s="52"/>
      <c r="J51" s="52">
        <v>10.199999999999999</v>
      </c>
      <c r="K51" s="52">
        <v>12</v>
      </c>
      <c r="L51" s="52">
        <v>11.4</v>
      </c>
      <c r="M51" s="52">
        <v>8.4</v>
      </c>
      <c r="N51" s="52">
        <f t="shared" si="0"/>
        <v>108.60000000000001</v>
      </c>
      <c r="O51" s="44">
        <f t="shared" si="1"/>
        <v>9.017648434769563E-5</v>
      </c>
    </row>
    <row r="52" spans="1:15" ht="16.8" x14ac:dyDescent="0.4">
      <c r="A52" s="5" t="s">
        <v>25</v>
      </c>
      <c r="B52" s="39">
        <f t="shared" ref="B52:M52" si="2">SUM(B4:B51)</f>
        <v>73444.800000000003</v>
      </c>
      <c r="C52" s="39">
        <f t="shared" si="2"/>
        <v>76991.899999999994</v>
      </c>
      <c r="D52" s="39">
        <f t="shared" si="2"/>
        <v>83764.3</v>
      </c>
      <c r="E52" s="39">
        <f t="shared" si="2"/>
        <v>96474.5</v>
      </c>
      <c r="F52" s="39">
        <f t="shared" si="2"/>
        <v>116752.5</v>
      </c>
      <c r="G52" s="39">
        <f t="shared" si="2"/>
        <v>122176.1</v>
      </c>
      <c r="H52" s="39">
        <f t="shared" si="2"/>
        <v>146988.5</v>
      </c>
      <c r="I52" s="39">
        <f t="shared" si="2"/>
        <v>131807</v>
      </c>
      <c r="J52" s="39">
        <f t="shared" si="2"/>
        <v>109063.2</v>
      </c>
      <c r="K52" s="39">
        <f t="shared" si="2"/>
        <v>85133</v>
      </c>
      <c r="L52" s="39">
        <f t="shared" si="2"/>
        <v>79579.899999999994</v>
      </c>
      <c r="M52" s="39">
        <f t="shared" si="2"/>
        <v>82129.399999999994</v>
      </c>
      <c r="N52" s="9">
        <f t="shared" si="0"/>
        <v>1204305.0999999999</v>
      </c>
      <c r="O52" s="10">
        <f t="shared" si="1"/>
        <v>1</v>
      </c>
    </row>
    <row r="53" spans="1:15" ht="16.8" x14ac:dyDescent="0.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6.8" x14ac:dyDescent="0.4">
      <c r="A56" s="4" t="s">
        <v>148</v>
      </c>
      <c r="B56" s="39">
        <f t="shared" ref="B56:D56" si="3">+B4+B7+B8+B9+B15+B16+B19+B20+B22+B23+B24+B27+B28+B33+B34+B35+B36+B37+B38+B39+B40+B41+B42+B43+B44+B45+B46+B47+B48+B49+B50+B5+B6</f>
        <v>59744</v>
      </c>
      <c r="C56" s="39">
        <f t="shared" si="3"/>
        <v>62882</v>
      </c>
      <c r="D56" s="39">
        <f t="shared" si="3"/>
        <v>67996</v>
      </c>
      <c r="E56" s="39">
        <f>+E4+E7+E8+E9+E15+E16+E19+E20+E22+E23+E24+E27+E28+E33+E34+E35+E36+E37+E38+E39+E40+E41+E42+E43+E44+E45+E46+E47+E48+E49+E50+E5+E6</f>
        <v>77302</v>
      </c>
      <c r="F56" s="39">
        <f>+F4+F7+F8+F9+F15+F16+F18+F19+F20+F22+F23+F24+F27+F28+F33+F34+F35+F36+F37+F38+F39+F40+F41+F42+F43+F44+F45+F46+F47+F48+F49+F50+F5+F6</f>
        <v>92622</v>
      </c>
      <c r="G56" s="39">
        <f>+G4+G7+G8+G9+G15+G16+G18+G19+G20+G22+G23+G24+G27+G28+G33+G34+G35+G36+G37+G38+G39+G40+G41+G42+G43+G44+G45+G46+G47+G48+G49+G50+G5+G6</f>
        <v>93670</v>
      </c>
      <c r="H56" s="39">
        <f>+H4+H7+H8+H9+H15+H16+H18+H19+H20+H22+H23+H24+H27+H28+H33+H34+H35+H36+H37+H38+H39+H40+H41+H42+H43+H44+H45+H46+H47+H48+H49+H50+H5+H6</f>
        <v>106865</v>
      </c>
      <c r="I56" s="39">
        <f>+I4+I7+I8+I9+I15+I16+I19+I20+I22+I23+I24+I27+I28+I33+I34+I35+I36+I37+I38+I39+I40+I41+I42+I43+I44+I45+I46+I47+I48+I49+I50+I5+I6+I18</f>
        <v>97533</v>
      </c>
      <c r="J56" s="39">
        <f t="shared" ref="J56:M56" si="4">+J4+J7+J8+J9+J15+J16+J19+J20+J22+J23+J24+J27+J28+J33+J34+J35+J36+J37+J38+J39+J40+J41+J42+J43+J44+J45+J46+J47+J48+J49+J50+J5+J6+J18</f>
        <v>83604</v>
      </c>
      <c r="K56" s="39">
        <f t="shared" si="4"/>
        <v>68448</v>
      </c>
      <c r="L56" s="39">
        <f t="shared" si="4"/>
        <v>63106</v>
      </c>
      <c r="M56" s="39">
        <f t="shared" si="4"/>
        <v>66139</v>
      </c>
      <c r="N56" s="39">
        <f t="shared" ref="N56" si="5">+N4+N7+N8+N9+N15+N16+N19+N20+N22+N23+N24+N27+N28+N33+N34+N35+N36+N37+N38+N39+N40+N41+N42+N43+N44+N45+N46+N47+N48+N49+N50+N5+N6</f>
        <v>937441</v>
      </c>
      <c r="O56" s="4"/>
    </row>
    <row r="57" spans="1:15" s="56" customFormat="1" ht="16.8" x14ac:dyDescent="0.4">
      <c r="A57" s="55" t="s">
        <v>149</v>
      </c>
      <c r="B57" s="50">
        <f>+B10+B11+B12+B13+B14+B17+B21+B25+B26+B29+B30+B31+B51</f>
        <v>13700.8</v>
      </c>
      <c r="C57" s="50">
        <f t="shared" ref="C57:N57" si="6">+C10+C11+C12+C13+C14+C17+C21+C25+C26+C29+C30+C31+C51</f>
        <v>14109.9</v>
      </c>
      <c r="D57" s="50">
        <f t="shared" si="6"/>
        <v>15768.3</v>
      </c>
      <c r="E57" s="50">
        <f t="shared" si="6"/>
        <v>19172.5</v>
      </c>
      <c r="F57" s="50">
        <f t="shared" si="6"/>
        <v>24130.5</v>
      </c>
      <c r="G57" s="50">
        <f t="shared" si="6"/>
        <v>28506.1</v>
      </c>
      <c r="H57" s="50">
        <f t="shared" si="6"/>
        <v>40123.5</v>
      </c>
      <c r="I57" s="50">
        <f t="shared" si="6"/>
        <v>34274</v>
      </c>
      <c r="J57" s="50">
        <f t="shared" si="6"/>
        <v>25459.200000000001</v>
      </c>
      <c r="K57" s="50">
        <f t="shared" si="6"/>
        <v>16685</v>
      </c>
      <c r="L57" s="50">
        <f t="shared" si="6"/>
        <v>16473.900000000001</v>
      </c>
      <c r="M57" s="50">
        <f t="shared" si="6"/>
        <v>15990.4</v>
      </c>
      <c r="N57" s="50">
        <f t="shared" si="6"/>
        <v>264394.09999999998</v>
      </c>
      <c r="O57" s="50"/>
    </row>
    <row r="58" spans="1:15" s="46" customFormat="1" ht="17.399999999999999" thickBot="1" x14ac:dyDescent="0.45">
      <c r="A58" s="48" t="s">
        <v>143</v>
      </c>
      <c r="B58" s="47">
        <f t="shared" ref="B58:N58" si="7">SUM(B56:B57)</f>
        <v>73444.800000000003</v>
      </c>
      <c r="C58" s="47">
        <f t="shared" si="7"/>
        <v>76991.899999999994</v>
      </c>
      <c r="D58" s="47">
        <f t="shared" si="7"/>
        <v>83764.3</v>
      </c>
      <c r="E58" s="47">
        <f t="shared" si="7"/>
        <v>96474.5</v>
      </c>
      <c r="F58" s="47">
        <f t="shared" si="7"/>
        <v>116752.5</v>
      </c>
      <c r="G58" s="47">
        <f t="shared" si="7"/>
        <v>122176.1</v>
      </c>
      <c r="H58" s="47">
        <f t="shared" si="7"/>
        <v>146988.5</v>
      </c>
      <c r="I58" s="47">
        <f t="shared" si="7"/>
        <v>131807</v>
      </c>
      <c r="J58" s="47">
        <f t="shared" si="7"/>
        <v>109063.2</v>
      </c>
      <c r="K58" s="47">
        <f t="shared" si="7"/>
        <v>85133</v>
      </c>
      <c r="L58" s="47">
        <f t="shared" si="7"/>
        <v>79579.899999999994</v>
      </c>
      <c r="M58" s="47">
        <f t="shared" si="7"/>
        <v>82129.399999999994</v>
      </c>
      <c r="N58" s="47">
        <f t="shared" si="7"/>
        <v>1201835.1000000001</v>
      </c>
      <c r="O58" s="48"/>
    </row>
    <row r="59" spans="1:15" ht="17.399999999999999" thickTop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/>
      <c r="B60" s="39">
        <f t="shared" ref="B60:M60" si="8">+B58-B52</f>
        <v>0</v>
      </c>
      <c r="C60" s="39">
        <f t="shared" si="8"/>
        <v>0</v>
      </c>
      <c r="D60" s="39">
        <f t="shared" si="8"/>
        <v>0</v>
      </c>
      <c r="E60" s="39">
        <f t="shared" si="8"/>
        <v>0</v>
      </c>
      <c r="F60" s="39">
        <f t="shared" si="8"/>
        <v>0</v>
      </c>
      <c r="G60" s="39">
        <f t="shared" si="8"/>
        <v>0</v>
      </c>
      <c r="H60" s="39">
        <f t="shared" si="8"/>
        <v>0</v>
      </c>
      <c r="I60" s="39">
        <f t="shared" si="8"/>
        <v>0</v>
      </c>
      <c r="J60" s="39">
        <f t="shared" si="8"/>
        <v>0</v>
      </c>
      <c r="K60" s="39">
        <f t="shared" si="8"/>
        <v>0</v>
      </c>
      <c r="L60" s="39">
        <f t="shared" si="8"/>
        <v>0</v>
      </c>
      <c r="M60" s="39">
        <f t="shared" si="8"/>
        <v>0</v>
      </c>
      <c r="N60" s="4"/>
      <c r="O60" s="4"/>
    </row>
    <row r="65" spans="1:14" ht="16.2" x14ac:dyDescent="0.25">
      <c r="A65" s="60" t="s">
        <v>204</v>
      </c>
      <c r="B65" s="61">
        <f t="shared" ref="B65:N65" si="9">+B4+B7+B8+B9+B5+B6</f>
        <v>25670</v>
      </c>
      <c r="C65" s="61">
        <f t="shared" si="9"/>
        <v>29608</v>
      </c>
      <c r="D65" s="61">
        <f t="shared" si="9"/>
        <v>26388</v>
      </c>
      <c r="E65" s="61">
        <f t="shared" si="9"/>
        <v>28420</v>
      </c>
      <c r="F65" s="61">
        <f t="shared" si="9"/>
        <v>40078</v>
      </c>
      <c r="G65" s="61">
        <f t="shared" si="9"/>
        <v>31224</v>
      </c>
      <c r="H65" s="61">
        <f t="shared" si="9"/>
        <v>32964</v>
      </c>
      <c r="I65" s="61">
        <f t="shared" si="9"/>
        <v>28882</v>
      </c>
      <c r="J65" s="61">
        <f t="shared" si="9"/>
        <v>29004</v>
      </c>
      <c r="K65" s="61">
        <f t="shared" si="9"/>
        <v>29424</v>
      </c>
      <c r="L65" s="61">
        <f t="shared" si="9"/>
        <v>25126</v>
      </c>
      <c r="M65" s="61">
        <f t="shared" si="9"/>
        <v>27920</v>
      </c>
      <c r="N65" s="61">
        <f t="shared" si="9"/>
        <v>354708</v>
      </c>
    </row>
    <row r="66" spans="1:14" ht="16.2" x14ac:dyDescent="0.25">
      <c r="A66" s="60" t="s">
        <v>205</v>
      </c>
      <c r="B66" s="61">
        <f t="shared" ref="B66:N66" si="10">+B15+B16+B23+B24</f>
        <v>28038</v>
      </c>
      <c r="C66" s="61">
        <f t="shared" si="10"/>
        <v>27410</v>
      </c>
      <c r="D66" s="61">
        <f t="shared" si="10"/>
        <v>31726</v>
      </c>
      <c r="E66" s="61">
        <f t="shared" si="10"/>
        <v>37180</v>
      </c>
      <c r="F66" s="61">
        <f t="shared" si="10"/>
        <v>41494</v>
      </c>
      <c r="G66" s="61">
        <f t="shared" si="10"/>
        <v>44194</v>
      </c>
      <c r="H66" s="61">
        <f t="shared" si="10"/>
        <v>56218</v>
      </c>
      <c r="I66" s="61">
        <f t="shared" si="10"/>
        <v>53076</v>
      </c>
      <c r="J66" s="61">
        <f t="shared" si="10"/>
        <v>41536</v>
      </c>
      <c r="K66" s="61">
        <f t="shared" si="10"/>
        <v>29072</v>
      </c>
      <c r="L66" s="61">
        <f t="shared" si="10"/>
        <v>28822</v>
      </c>
      <c r="M66" s="61">
        <f t="shared" si="10"/>
        <v>31342</v>
      </c>
      <c r="N66" s="61">
        <f t="shared" si="10"/>
        <v>450108</v>
      </c>
    </row>
    <row r="67" spans="1:14" ht="16.2" x14ac:dyDescent="0.25">
      <c r="A67" s="60" t="s">
        <v>206</v>
      </c>
      <c r="B67" s="61">
        <f t="shared" ref="B67:N67" si="11">+B19+B20+B27+B28</f>
        <v>56</v>
      </c>
      <c r="C67" s="61">
        <f t="shared" si="11"/>
        <v>89</v>
      </c>
      <c r="D67" s="61">
        <f t="shared" si="11"/>
        <v>96</v>
      </c>
      <c r="E67" s="61">
        <f t="shared" si="11"/>
        <v>162</v>
      </c>
      <c r="F67" s="61">
        <f t="shared" si="11"/>
        <v>244</v>
      </c>
      <c r="G67" s="61">
        <f t="shared" si="11"/>
        <v>250</v>
      </c>
      <c r="H67" s="61">
        <f t="shared" si="11"/>
        <v>502</v>
      </c>
      <c r="I67" s="61">
        <f t="shared" si="11"/>
        <v>448</v>
      </c>
      <c r="J67" s="61">
        <f t="shared" si="11"/>
        <v>378</v>
      </c>
      <c r="K67" s="61">
        <f t="shared" si="11"/>
        <v>107</v>
      </c>
      <c r="L67" s="61">
        <f t="shared" si="11"/>
        <v>36</v>
      </c>
      <c r="M67" s="61">
        <f t="shared" si="11"/>
        <v>6</v>
      </c>
      <c r="N67" s="61">
        <f t="shared" si="11"/>
        <v>2374</v>
      </c>
    </row>
    <row r="68" spans="1:14" ht="16.2" x14ac:dyDescent="0.25">
      <c r="A68" s="60" t="s">
        <v>207</v>
      </c>
      <c r="B68" s="61">
        <f t="shared" ref="B68:H68" si="12">+B33+B34+B35+B36+B37+B38+B39+B40+B41+B42+B43+B44+B45+B46+B47+B48+B49+B50+B18+B22</f>
        <v>5980</v>
      </c>
      <c r="C68" s="61">
        <f t="shared" si="12"/>
        <v>5775</v>
      </c>
      <c r="D68" s="61">
        <f t="shared" si="12"/>
        <v>9786</v>
      </c>
      <c r="E68" s="61">
        <f t="shared" si="12"/>
        <v>11540</v>
      </c>
      <c r="F68" s="61">
        <f t="shared" si="12"/>
        <v>10806</v>
      </c>
      <c r="G68" s="61">
        <f t="shared" si="12"/>
        <v>18002</v>
      </c>
      <c r="H68" s="61">
        <f t="shared" si="12"/>
        <v>17181</v>
      </c>
      <c r="I68" s="61">
        <f>+I33+I34+I35+I36+I37+I38+I39+I40+I41+I42+I43+I44+I45+I46+I47+I48+I49+I50+I18+I22</f>
        <v>15127</v>
      </c>
      <c r="J68" s="61">
        <f t="shared" ref="J68:M68" si="13">+J33+J34+J35+J36+J37+J38+J39+J40+J41+J42+J43+J44+J45+J46+J47+J48+J49+J50+J18+J22</f>
        <v>12686</v>
      </c>
      <c r="K68" s="61">
        <f t="shared" si="13"/>
        <v>9845</v>
      </c>
      <c r="L68" s="61">
        <f t="shared" si="13"/>
        <v>9122</v>
      </c>
      <c r="M68" s="61">
        <f t="shared" si="13"/>
        <v>6871</v>
      </c>
      <c r="N68" s="61">
        <f t="shared" ref="N68" si="14">+N33+N34+N35+N36+N37+N38+N39+N40+N41+N42+N43+N44+N45+N46+N47+N48+N49+N50</f>
        <v>130101</v>
      </c>
    </row>
    <row r="69" spans="1:14" ht="16.2" x14ac:dyDescent="0.25">
      <c r="A69" s="60" t="s">
        <v>208</v>
      </c>
      <c r="B69" s="61">
        <f t="shared" ref="B69:N69" si="15">+B12+B29</f>
        <v>7277</v>
      </c>
      <c r="C69" s="61">
        <f t="shared" si="15"/>
        <v>7118</v>
      </c>
      <c r="D69" s="61">
        <f t="shared" si="15"/>
        <v>7730</v>
      </c>
      <c r="E69" s="61">
        <f t="shared" si="15"/>
        <v>8240</v>
      </c>
      <c r="F69" s="61">
        <f t="shared" si="15"/>
        <v>10877</v>
      </c>
      <c r="G69" s="61">
        <f t="shared" si="15"/>
        <v>11594</v>
      </c>
      <c r="H69" s="61">
        <f t="shared" si="15"/>
        <v>12696</v>
      </c>
      <c r="I69" s="61">
        <f t="shared" si="15"/>
        <v>10220</v>
      </c>
      <c r="J69" s="61">
        <f t="shared" si="15"/>
        <v>10128</v>
      </c>
      <c r="K69" s="61">
        <f t="shared" si="15"/>
        <v>9111</v>
      </c>
      <c r="L69" s="61">
        <f t="shared" si="15"/>
        <v>8414</v>
      </c>
      <c r="M69" s="61">
        <f t="shared" si="15"/>
        <v>8268</v>
      </c>
      <c r="N69" s="61">
        <f t="shared" si="15"/>
        <v>111673</v>
      </c>
    </row>
    <row r="70" spans="1:14" ht="16.2" x14ac:dyDescent="0.25">
      <c r="A70" s="60" t="s">
        <v>209</v>
      </c>
      <c r="B70" s="61">
        <f t="shared" ref="B70:N70" si="16">+B13+B14+B25+B26</f>
        <v>6028</v>
      </c>
      <c r="C70" s="61">
        <f t="shared" si="16"/>
        <v>6004</v>
      </c>
      <c r="D70" s="61">
        <f t="shared" si="16"/>
        <v>7151</v>
      </c>
      <c r="E70" s="61">
        <f t="shared" si="16"/>
        <v>9850</v>
      </c>
      <c r="F70" s="61">
        <f t="shared" si="16"/>
        <v>11787</v>
      </c>
      <c r="G70" s="61">
        <f t="shared" si="16"/>
        <v>14366</v>
      </c>
      <c r="H70" s="61">
        <f t="shared" si="16"/>
        <v>24776.5</v>
      </c>
      <c r="I70" s="61">
        <f t="shared" si="16"/>
        <v>22249</v>
      </c>
      <c r="J70" s="61">
        <f t="shared" si="16"/>
        <v>14299</v>
      </c>
      <c r="K70" s="61">
        <f t="shared" si="16"/>
        <v>7162</v>
      </c>
      <c r="L70" s="61">
        <f t="shared" si="16"/>
        <v>7769</v>
      </c>
      <c r="M70" s="61">
        <f t="shared" si="16"/>
        <v>7443</v>
      </c>
      <c r="N70" s="61">
        <f t="shared" si="16"/>
        <v>138884.5</v>
      </c>
    </row>
    <row r="71" spans="1:14" ht="16.2" x14ac:dyDescent="0.25">
      <c r="A71" s="60" t="s">
        <v>210</v>
      </c>
      <c r="B71" s="61">
        <f t="shared" ref="B71:N71" si="17">+B10+B11+B30+B31</f>
        <v>166</v>
      </c>
      <c r="C71" s="61">
        <f t="shared" si="17"/>
        <v>132</v>
      </c>
      <c r="D71" s="61">
        <f t="shared" si="17"/>
        <v>247</v>
      </c>
      <c r="E71" s="61">
        <f t="shared" si="17"/>
        <v>871</v>
      </c>
      <c r="F71" s="61">
        <f t="shared" si="17"/>
        <v>1124.5</v>
      </c>
      <c r="G71" s="61">
        <f t="shared" si="17"/>
        <v>1208.5</v>
      </c>
      <c r="H71" s="61">
        <f t="shared" si="17"/>
        <v>2031</v>
      </c>
      <c r="I71" s="61">
        <f t="shared" si="17"/>
        <v>1681</v>
      </c>
      <c r="J71" s="61">
        <f t="shared" si="17"/>
        <v>928.5</v>
      </c>
      <c r="K71" s="61">
        <f t="shared" si="17"/>
        <v>290</v>
      </c>
      <c r="L71" s="61">
        <f t="shared" si="17"/>
        <v>175</v>
      </c>
      <c r="M71" s="61">
        <f t="shared" si="17"/>
        <v>74</v>
      </c>
      <c r="N71" s="61">
        <f t="shared" si="17"/>
        <v>8928.5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1"/>
  <sheetViews>
    <sheetView workbookViewId="0">
      <pane xSplit="1" ySplit="3" topLeftCell="I43" activePane="bottomRight" state="frozen"/>
      <selection pane="topRight" activeCell="B1" sqref="B1"/>
      <selection pane="bottomLeft" activeCell="A4" sqref="A4"/>
      <selection pane="bottomRight" activeCell="O18" sqref="O18"/>
    </sheetView>
  </sheetViews>
  <sheetFormatPr defaultColWidth="8.33203125" defaultRowHeight="15" x14ac:dyDescent="0.25"/>
  <cols>
    <col min="1" max="1" width="29.08203125" bestFit="1" customWidth="1"/>
    <col min="2" max="4" width="9.33203125" bestFit="1" customWidth="1"/>
    <col min="5" max="5" width="9" bestFit="1" customWidth="1"/>
    <col min="6" max="7" width="9.33203125" bestFit="1" customWidth="1"/>
    <col min="8" max="8" width="9.58203125" customWidth="1"/>
    <col min="9" max="9" width="9.4140625" bestFit="1" customWidth="1"/>
    <col min="10" max="10" width="8.33203125" customWidth="1"/>
    <col min="11" max="11" width="9.4140625" customWidth="1"/>
    <col min="12" max="12" width="9.25" customWidth="1"/>
    <col min="13" max="13" width="9.08203125" bestFit="1" customWidth="1"/>
    <col min="14" max="14" width="10.75" bestFit="1" customWidth="1"/>
  </cols>
  <sheetData>
    <row r="1" spans="1:15" ht="18.600000000000001" x14ac:dyDescent="0.45">
      <c r="A1" s="3" t="s">
        <v>224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8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6.8" x14ac:dyDescent="0.4">
      <c r="A3" s="5"/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41" t="s">
        <v>32</v>
      </c>
      <c r="I3" s="41" t="s">
        <v>33</v>
      </c>
      <c r="J3" s="41" t="s">
        <v>34</v>
      </c>
      <c r="K3" s="41" t="s">
        <v>35</v>
      </c>
      <c r="L3" s="41" t="s">
        <v>36</v>
      </c>
      <c r="M3" s="8" t="s">
        <v>37</v>
      </c>
      <c r="N3" s="8" t="s">
        <v>25</v>
      </c>
      <c r="O3" s="8" t="s">
        <v>38</v>
      </c>
    </row>
    <row r="4" spans="1:15" s="54" customFormat="1" ht="16.8" x14ac:dyDescent="0.4">
      <c r="A4" s="42" t="s">
        <v>223</v>
      </c>
      <c r="B4" s="43">
        <v>400</v>
      </c>
      <c r="C4" s="43">
        <v>240</v>
      </c>
      <c r="D4" s="43">
        <v>240</v>
      </c>
      <c r="E4" s="43">
        <v>80</v>
      </c>
      <c r="F4" s="43">
        <v>500</v>
      </c>
      <c r="G4" s="43">
        <v>400</v>
      </c>
      <c r="H4" s="43">
        <v>400</v>
      </c>
      <c r="I4" s="43">
        <v>100</v>
      </c>
      <c r="J4" s="43">
        <v>100</v>
      </c>
      <c r="K4" s="43"/>
      <c r="L4" s="43">
        <v>300</v>
      </c>
      <c r="M4" s="43">
        <v>500</v>
      </c>
      <c r="N4" s="43">
        <f t="shared" ref="N4:N52" si="0">SUM(B4:M4)</f>
        <v>3260</v>
      </c>
      <c r="O4" s="44">
        <f>N4/$N$52</f>
        <v>3.1875688725099558E-3</v>
      </c>
    </row>
    <row r="5" spans="1:15" s="54" customFormat="1" ht="16.8" x14ac:dyDescent="0.4">
      <c r="A5" s="42" t="s">
        <v>222</v>
      </c>
      <c r="B5" s="43">
        <v>420</v>
      </c>
      <c r="C5" s="43"/>
      <c r="D5" s="43">
        <v>140</v>
      </c>
      <c r="E5" s="43">
        <v>210</v>
      </c>
      <c r="F5" s="43">
        <v>180</v>
      </c>
      <c r="G5" s="43">
        <v>360</v>
      </c>
      <c r="H5" s="43">
        <v>270</v>
      </c>
      <c r="I5" s="43">
        <v>90</v>
      </c>
      <c r="J5" s="43"/>
      <c r="K5" s="43"/>
      <c r="L5" s="43">
        <f>80+480</f>
        <v>560</v>
      </c>
      <c r="M5" s="43">
        <v>400</v>
      </c>
      <c r="N5" s="43">
        <f t="shared" si="0"/>
        <v>2630</v>
      </c>
      <c r="O5" s="44">
        <f t="shared" ref="O5:O52" si="1">N5/$N$52</f>
        <v>2.5715662989880934E-3</v>
      </c>
    </row>
    <row r="6" spans="1:15" s="54" customFormat="1" ht="16.8" x14ac:dyDescent="0.4">
      <c r="A6" s="42" t="s">
        <v>214</v>
      </c>
      <c r="B6" s="43">
        <v>11832</v>
      </c>
      <c r="C6" s="43">
        <v>12240</v>
      </c>
      <c r="D6" s="43">
        <v>13600</v>
      </c>
      <c r="E6" s="43">
        <v>13328</v>
      </c>
      <c r="F6" s="43">
        <v>15912</v>
      </c>
      <c r="G6" s="43">
        <v>13872</v>
      </c>
      <c r="H6" s="43">
        <v>15776</v>
      </c>
      <c r="I6" s="43">
        <v>13464</v>
      </c>
      <c r="J6" s="43">
        <v>6936</v>
      </c>
      <c r="K6" s="43">
        <v>17000</v>
      </c>
      <c r="L6" s="43">
        <v>10540</v>
      </c>
      <c r="M6" s="43">
        <v>15640</v>
      </c>
      <c r="N6" s="43">
        <f t="shared" si="0"/>
        <v>160140</v>
      </c>
      <c r="O6" s="44">
        <f t="shared" si="1"/>
        <v>0.15658198749808108</v>
      </c>
    </row>
    <row r="7" spans="1:15" s="54" customFormat="1" ht="16.8" x14ac:dyDescent="0.4">
      <c r="A7" s="42" t="s">
        <v>110</v>
      </c>
      <c r="B7" s="51">
        <v>85</v>
      </c>
      <c r="C7" s="51"/>
      <c r="D7" s="51"/>
      <c r="E7" s="51">
        <v>170</v>
      </c>
      <c r="F7" s="51">
        <v>255</v>
      </c>
      <c r="G7" s="51">
        <v>85</v>
      </c>
      <c r="H7" s="51">
        <v>85</v>
      </c>
      <c r="I7" s="51">
        <v>85</v>
      </c>
      <c r="J7" s="51"/>
      <c r="K7" s="51">
        <v>102</v>
      </c>
      <c r="L7" s="51"/>
      <c r="M7" s="51">
        <v>102</v>
      </c>
      <c r="N7" s="43">
        <f t="shared" si="0"/>
        <v>969</v>
      </c>
      <c r="O7" s="44">
        <f t="shared" si="1"/>
        <v>9.4747062498838869E-4</v>
      </c>
    </row>
    <row r="8" spans="1:15" s="54" customFormat="1" ht="16.8" x14ac:dyDescent="0.4">
      <c r="A8" s="42" t="s">
        <v>215</v>
      </c>
      <c r="B8" s="51">
        <v>11662</v>
      </c>
      <c r="C8" s="51">
        <v>10234</v>
      </c>
      <c r="D8" s="51">
        <v>10710</v>
      </c>
      <c r="E8" s="51">
        <v>12852</v>
      </c>
      <c r="F8" s="51">
        <v>15351</v>
      </c>
      <c r="G8" s="51">
        <v>13328</v>
      </c>
      <c r="H8" s="51">
        <v>12733</v>
      </c>
      <c r="I8" s="51">
        <v>12614</v>
      </c>
      <c r="J8" s="51">
        <v>5508</v>
      </c>
      <c r="K8" s="51">
        <v>15640</v>
      </c>
      <c r="L8" s="51">
        <v>7616</v>
      </c>
      <c r="M8" s="51">
        <v>11560</v>
      </c>
      <c r="N8" s="43">
        <f t="shared" si="0"/>
        <v>139808</v>
      </c>
      <c r="O8" s="44">
        <f t="shared" si="1"/>
        <v>0.13670172666499139</v>
      </c>
    </row>
    <row r="9" spans="1:15" s="54" customFormat="1" ht="16.8" x14ac:dyDescent="0.4">
      <c r="A9" s="42" t="s">
        <v>216</v>
      </c>
      <c r="B9" s="51"/>
      <c r="C9" s="51"/>
      <c r="D9" s="51"/>
      <c r="E9" s="51"/>
      <c r="F9" s="51"/>
      <c r="G9" s="51"/>
      <c r="H9" s="51">
        <v>68</v>
      </c>
      <c r="I9" s="51">
        <v>68</v>
      </c>
      <c r="J9" s="51"/>
      <c r="K9" s="51"/>
      <c r="L9" s="51"/>
      <c r="M9" s="51"/>
      <c r="N9" s="43">
        <f t="shared" si="0"/>
        <v>136</v>
      </c>
      <c r="O9" s="44">
        <f t="shared" si="1"/>
        <v>1.3297833333170367E-4</v>
      </c>
    </row>
    <row r="10" spans="1:15" s="54" customFormat="1" ht="16.8" x14ac:dyDescent="0.4">
      <c r="A10" s="42" t="s">
        <v>156</v>
      </c>
      <c r="B10" s="52"/>
      <c r="C10" s="52"/>
      <c r="D10" s="52"/>
      <c r="E10" s="52"/>
      <c r="F10" s="52">
        <v>337.5</v>
      </c>
      <c r="G10" s="52">
        <v>846</v>
      </c>
      <c r="H10" s="52">
        <v>1480.5</v>
      </c>
      <c r="I10" s="52">
        <v>1003.5</v>
      </c>
      <c r="J10" s="52">
        <v>787.5</v>
      </c>
      <c r="K10" s="52"/>
      <c r="L10" s="52"/>
      <c r="M10" s="52"/>
      <c r="N10" s="43">
        <f t="shared" si="0"/>
        <v>4455</v>
      </c>
      <c r="O10" s="44">
        <f t="shared" si="1"/>
        <v>4.3560181984760287E-3</v>
      </c>
    </row>
    <row r="11" spans="1:15" s="54" customFormat="1" ht="16.8" x14ac:dyDescent="0.4">
      <c r="A11" s="42" t="s">
        <v>184</v>
      </c>
      <c r="B11" s="52">
        <v>136.5</v>
      </c>
      <c r="C11" s="52">
        <v>199.5</v>
      </c>
      <c r="D11" s="52">
        <v>234.5</v>
      </c>
      <c r="E11" s="52">
        <v>483</v>
      </c>
      <c r="F11" s="52">
        <v>399</v>
      </c>
      <c r="G11" s="52"/>
      <c r="H11" s="52"/>
      <c r="I11" s="52"/>
      <c r="J11" s="52"/>
      <c r="K11" s="52">
        <v>484</v>
      </c>
      <c r="L11" s="52">
        <v>156</v>
      </c>
      <c r="M11" s="52">
        <v>132</v>
      </c>
      <c r="N11" s="52">
        <f t="shared" si="0"/>
        <v>2224.5</v>
      </c>
      <c r="O11" s="44">
        <f t="shared" si="1"/>
        <v>2.1750757536498151E-3</v>
      </c>
    </row>
    <row r="12" spans="1:15" s="54" customFormat="1" ht="16.8" x14ac:dyDescent="0.4">
      <c r="A12" s="42" t="s">
        <v>111</v>
      </c>
      <c r="B12" s="52">
        <v>3339</v>
      </c>
      <c r="C12" s="52">
        <v>3445</v>
      </c>
      <c r="D12" s="52">
        <v>3127</v>
      </c>
      <c r="E12" s="52">
        <v>3392</v>
      </c>
      <c r="F12" s="52">
        <v>6148</v>
      </c>
      <c r="G12" s="52">
        <v>5035</v>
      </c>
      <c r="H12" s="52">
        <v>6413</v>
      </c>
      <c r="I12" s="52">
        <v>4876</v>
      </c>
      <c r="J12" s="52">
        <v>6933</v>
      </c>
      <c r="K12" s="52">
        <v>11725</v>
      </c>
      <c r="L12" s="52">
        <v>4154</v>
      </c>
      <c r="M12" s="52">
        <v>4489</v>
      </c>
      <c r="N12" s="52">
        <f t="shared" si="0"/>
        <v>63076</v>
      </c>
      <c r="O12" s="44">
        <f t="shared" si="1"/>
        <v>6.1674568773753984E-2</v>
      </c>
    </row>
    <row r="13" spans="1:15" s="54" customFormat="1" ht="16.8" x14ac:dyDescent="0.4">
      <c r="A13" s="42" t="s">
        <v>157</v>
      </c>
      <c r="B13" s="52"/>
      <c r="C13" s="52"/>
      <c r="D13" s="52"/>
      <c r="E13" s="52"/>
      <c r="F13" s="52">
        <v>4483.5</v>
      </c>
      <c r="G13" s="52">
        <v>9901.5</v>
      </c>
      <c r="H13" s="52">
        <v>15106</v>
      </c>
      <c r="I13" s="52">
        <v>14353.5</v>
      </c>
      <c r="J13" s="52">
        <v>10185</v>
      </c>
      <c r="K13" s="52"/>
      <c r="L13" s="52"/>
      <c r="M13" s="52"/>
      <c r="N13" s="52">
        <f t="shared" si="0"/>
        <v>54029.5</v>
      </c>
      <c r="O13" s="44">
        <f t="shared" si="1"/>
        <v>5.2829065152538851E-2</v>
      </c>
    </row>
    <row r="14" spans="1:15" s="54" customFormat="1" ht="16.8" x14ac:dyDescent="0.4">
      <c r="A14" s="42" t="s">
        <v>180</v>
      </c>
      <c r="B14" s="52">
        <v>3912.5</v>
      </c>
      <c r="C14" s="52">
        <v>4377.5</v>
      </c>
      <c r="D14" s="52">
        <v>5230</v>
      </c>
      <c r="E14" s="52">
        <v>5457.5</v>
      </c>
      <c r="F14" s="52">
        <v>4005</v>
      </c>
      <c r="G14" s="52"/>
      <c r="H14" s="52"/>
      <c r="I14" s="52"/>
      <c r="J14" s="52"/>
      <c r="K14" s="52">
        <v>7800</v>
      </c>
      <c r="L14" s="52">
        <v>5799</v>
      </c>
      <c r="M14" s="52">
        <v>5481</v>
      </c>
      <c r="N14" s="52">
        <f t="shared" si="0"/>
        <v>42062.5</v>
      </c>
      <c r="O14" s="44">
        <f t="shared" si="1"/>
        <v>4.1127949601211661E-2</v>
      </c>
    </row>
    <row r="15" spans="1:15" s="54" customFormat="1" ht="16.8" x14ac:dyDescent="0.4">
      <c r="A15" s="42" t="s">
        <v>113</v>
      </c>
      <c r="B15" s="52"/>
      <c r="C15" s="52"/>
      <c r="D15" s="52"/>
      <c r="E15" s="52"/>
      <c r="F15" s="52">
        <v>12670</v>
      </c>
      <c r="G15" s="52">
        <v>29810</v>
      </c>
      <c r="H15" s="52">
        <v>37110</v>
      </c>
      <c r="I15" s="52">
        <v>35210</v>
      </c>
      <c r="J15" s="52">
        <v>28660</v>
      </c>
      <c r="K15" s="52"/>
      <c r="L15" s="52"/>
      <c r="M15" s="52"/>
      <c r="N15" s="52">
        <f t="shared" si="0"/>
        <v>143460</v>
      </c>
      <c r="O15" s="44">
        <f t="shared" si="1"/>
        <v>0.14027258602769271</v>
      </c>
    </row>
    <row r="16" spans="1:15" s="54" customFormat="1" ht="16.8" x14ac:dyDescent="0.4">
      <c r="A16" s="42" t="s">
        <v>179</v>
      </c>
      <c r="B16" s="52">
        <v>16872</v>
      </c>
      <c r="C16" s="52">
        <v>18192</v>
      </c>
      <c r="D16" s="52">
        <v>20952</v>
      </c>
      <c r="E16" s="52">
        <v>22216</v>
      </c>
      <c r="F16" s="52">
        <v>13968</v>
      </c>
      <c r="G16" s="52"/>
      <c r="H16" s="52"/>
      <c r="I16" s="52"/>
      <c r="J16" s="52"/>
      <c r="K16" s="52">
        <v>4550</v>
      </c>
      <c r="L16" s="52">
        <f>10+24570</f>
        <v>24580</v>
      </c>
      <c r="M16" s="52">
        <f>490+24210</f>
        <v>24700</v>
      </c>
      <c r="N16" s="52">
        <f t="shared" si="0"/>
        <v>146030</v>
      </c>
      <c r="O16" s="44">
        <f t="shared" si="1"/>
        <v>0.14278548541491684</v>
      </c>
    </row>
    <row r="17" spans="1:15" s="54" customFormat="1" ht="16.8" x14ac:dyDescent="0.4">
      <c r="A17" s="42" t="s">
        <v>114</v>
      </c>
      <c r="B17" s="52">
        <v>115</v>
      </c>
      <c r="C17" s="52"/>
      <c r="D17" s="52">
        <v>450</v>
      </c>
      <c r="E17" s="52"/>
      <c r="F17" s="52"/>
      <c r="G17" s="52">
        <v>1300</v>
      </c>
      <c r="H17" s="52">
        <v>650</v>
      </c>
      <c r="I17" s="52">
        <v>100</v>
      </c>
      <c r="J17" s="52"/>
      <c r="K17" s="52">
        <v>1120</v>
      </c>
      <c r="L17" s="52">
        <f>240+2500</f>
        <v>2740</v>
      </c>
      <c r="M17" s="52">
        <f>120+500</f>
        <v>620</v>
      </c>
      <c r="N17" s="52">
        <f t="shared" si="0"/>
        <v>7095</v>
      </c>
      <c r="O17" s="44">
        <f t="shared" si="1"/>
        <v>6.9373623160914532E-3</v>
      </c>
    </row>
    <row r="18" spans="1:15" s="54" customFormat="1" ht="16.8" x14ac:dyDescent="0.4">
      <c r="A18" s="42" t="s">
        <v>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>
        <f t="shared" ref="N18" si="2">SUM(B18:M18)</f>
        <v>0</v>
      </c>
      <c r="O18" s="44">
        <f t="shared" si="1"/>
        <v>0</v>
      </c>
    </row>
    <row r="19" spans="1:15" s="54" customFormat="1" ht="16.8" x14ac:dyDescent="0.4">
      <c r="A19" s="42" t="s">
        <v>158</v>
      </c>
      <c r="B19" s="52"/>
      <c r="C19" s="52"/>
      <c r="D19" s="52"/>
      <c r="E19" s="52"/>
      <c r="F19" s="52">
        <v>182</v>
      </c>
      <c r="G19" s="52">
        <v>504</v>
      </c>
      <c r="H19" s="52">
        <v>763</v>
      </c>
      <c r="I19" s="52">
        <v>525</v>
      </c>
      <c r="J19" s="52">
        <v>287</v>
      </c>
      <c r="K19" s="52"/>
      <c r="L19" s="52"/>
      <c r="M19" s="52"/>
      <c r="N19" s="52">
        <f t="shared" si="0"/>
        <v>2261</v>
      </c>
      <c r="O19" s="44">
        <f t="shared" si="1"/>
        <v>2.2107647916395738E-3</v>
      </c>
    </row>
    <row r="20" spans="1:15" s="54" customFormat="1" ht="16.8" x14ac:dyDescent="0.4">
      <c r="A20" s="42" t="s">
        <v>185</v>
      </c>
      <c r="B20" s="52">
        <v>40</v>
      </c>
      <c r="C20" s="52">
        <v>70</v>
      </c>
      <c r="D20" s="52">
        <v>95</v>
      </c>
      <c r="E20" s="52">
        <v>230</v>
      </c>
      <c r="F20" s="52">
        <v>240</v>
      </c>
      <c r="G20" s="52"/>
      <c r="H20" s="52"/>
      <c r="I20" s="52"/>
      <c r="J20" s="52"/>
      <c r="K20" s="52">
        <v>126</v>
      </c>
      <c r="L20" s="52">
        <v>36</v>
      </c>
      <c r="M20" s="52">
        <v>24</v>
      </c>
      <c r="N20" s="52">
        <f t="shared" si="0"/>
        <v>861</v>
      </c>
      <c r="O20" s="44">
        <f t="shared" si="1"/>
        <v>8.4187018381321225E-4</v>
      </c>
    </row>
    <row r="21" spans="1:15" s="54" customFormat="1" ht="16.8" x14ac:dyDescent="0.4">
      <c r="A21" s="42" t="s">
        <v>10</v>
      </c>
      <c r="B21" s="52">
        <v>99</v>
      </c>
      <c r="C21" s="52">
        <v>99</v>
      </c>
      <c r="D21" s="52">
        <v>104.5</v>
      </c>
      <c r="E21" s="52">
        <v>104.5</v>
      </c>
      <c r="F21" s="52">
        <v>104.5</v>
      </c>
      <c r="G21" s="52">
        <v>71.5</v>
      </c>
      <c r="H21" s="52"/>
      <c r="I21" s="52"/>
      <c r="J21" s="52">
        <v>88</v>
      </c>
      <c r="K21" s="52">
        <v>115.5</v>
      </c>
      <c r="L21" s="52">
        <v>99</v>
      </c>
      <c r="M21" s="52">
        <v>77</v>
      </c>
      <c r="N21" s="52">
        <f>SUM(B21:M21)</f>
        <v>962.5</v>
      </c>
      <c r="O21" s="44">
        <f t="shared" si="1"/>
        <v>9.4111504288062349E-4</v>
      </c>
    </row>
    <row r="22" spans="1:15" s="54" customFormat="1" ht="16.8" x14ac:dyDescent="0.4">
      <c r="A22" s="42" t="s">
        <v>11</v>
      </c>
      <c r="B22" s="52"/>
      <c r="C22" s="52"/>
      <c r="D22" s="52">
        <v>15</v>
      </c>
      <c r="E22" s="52">
        <v>140</v>
      </c>
      <c r="F22" s="52">
        <v>5</v>
      </c>
      <c r="G22" s="52"/>
      <c r="H22" s="52"/>
      <c r="I22" s="52">
        <v>10</v>
      </c>
      <c r="J22" s="52"/>
      <c r="K22" s="52">
        <v>12</v>
      </c>
      <c r="L22" s="52"/>
      <c r="M22" s="52"/>
      <c r="N22" s="52">
        <f t="shared" si="0"/>
        <v>182</v>
      </c>
      <c r="O22" s="44">
        <f t="shared" si="1"/>
        <v>1.7795629901742698E-4</v>
      </c>
    </row>
    <row r="23" spans="1:15" s="54" customFormat="1" ht="16.8" x14ac:dyDescent="0.4">
      <c r="A23" s="42" t="s">
        <v>159</v>
      </c>
      <c r="B23" s="52"/>
      <c r="C23" s="52"/>
      <c r="D23" s="52"/>
      <c r="E23" s="52"/>
      <c r="F23" s="52">
        <v>3312</v>
      </c>
      <c r="G23" s="52">
        <v>8361</v>
      </c>
      <c r="H23" s="52">
        <v>9567</v>
      </c>
      <c r="I23" s="52">
        <v>9135</v>
      </c>
      <c r="J23" s="52">
        <v>7929</v>
      </c>
      <c r="K23" s="52"/>
      <c r="L23" s="52"/>
      <c r="M23" s="52"/>
      <c r="N23" s="52">
        <f>SUM(B23:M23)</f>
        <v>38304</v>
      </c>
      <c r="O23" s="44">
        <f t="shared" si="1"/>
        <v>3.7452956470129251E-2</v>
      </c>
    </row>
    <row r="24" spans="1:15" s="54" customFormat="1" ht="16.8" x14ac:dyDescent="0.4">
      <c r="A24" s="42" t="s">
        <v>181</v>
      </c>
      <c r="B24" s="52">
        <v>4564</v>
      </c>
      <c r="C24" s="52">
        <v>4872</v>
      </c>
      <c r="D24" s="52">
        <v>5229</v>
      </c>
      <c r="E24" s="52">
        <v>5901</v>
      </c>
      <c r="F24" s="52">
        <v>4102</v>
      </c>
      <c r="G24" s="52"/>
      <c r="H24" s="52"/>
      <c r="I24" s="52"/>
      <c r="J24" s="52"/>
      <c r="K24" s="52">
        <v>1664</v>
      </c>
      <c r="L24" s="52">
        <v>7320</v>
      </c>
      <c r="M24" s="52">
        <v>7304</v>
      </c>
      <c r="N24" s="52">
        <f>SUM(B24:M24)</f>
        <v>40956</v>
      </c>
      <c r="O24" s="44">
        <f t="shared" si="1"/>
        <v>4.0046033970097469E-2</v>
      </c>
    </row>
    <row r="25" spans="1:15" s="54" customFormat="1" ht="16.8" x14ac:dyDescent="0.4">
      <c r="A25" s="42" t="s">
        <v>211</v>
      </c>
      <c r="B25" s="52"/>
      <c r="C25" s="52"/>
      <c r="D25" s="52"/>
      <c r="E25" s="52"/>
      <c r="F25" s="52">
        <v>1360</v>
      </c>
      <c r="G25" s="52">
        <v>3192</v>
      </c>
      <c r="H25" s="52">
        <v>5364</v>
      </c>
      <c r="I25" s="52">
        <v>4910</v>
      </c>
      <c r="J25" s="52">
        <v>2886</v>
      </c>
      <c r="K25" s="52">
        <v>12</v>
      </c>
      <c r="L25" s="52"/>
      <c r="M25" s="52"/>
      <c r="N25" s="52">
        <f>SUM(B25:M25)</f>
        <v>17724</v>
      </c>
      <c r="O25" s="44">
        <f t="shared" si="1"/>
        <v>1.7330205735081736E-2</v>
      </c>
    </row>
    <row r="26" spans="1:15" s="54" customFormat="1" ht="16.8" x14ac:dyDescent="0.4">
      <c r="A26" s="42" t="s">
        <v>212</v>
      </c>
      <c r="B26" s="52">
        <v>981</v>
      </c>
      <c r="C26" s="52">
        <v>1317</v>
      </c>
      <c r="D26" s="52">
        <v>1333.5</v>
      </c>
      <c r="E26" s="52">
        <v>1656</v>
      </c>
      <c r="F26" s="52">
        <v>1128</v>
      </c>
      <c r="G26" s="52"/>
      <c r="H26" s="52"/>
      <c r="I26" s="52"/>
      <c r="J26" s="52"/>
      <c r="K26" s="52">
        <v>2132</v>
      </c>
      <c r="L26" s="52">
        <v>1698</v>
      </c>
      <c r="M26" s="52">
        <f>6+1670</f>
        <v>1676</v>
      </c>
      <c r="N26" s="52">
        <f>SUM(B26:M26)</f>
        <v>11921.5</v>
      </c>
      <c r="O26" s="44">
        <f t="shared" si="1"/>
        <v>1.1656626476572835E-2</v>
      </c>
    </row>
    <row r="27" spans="1:15" s="54" customFormat="1" ht="16.8" x14ac:dyDescent="0.4">
      <c r="A27" s="42" t="s">
        <v>186</v>
      </c>
      <c r="B27" s="52"/>
      <c r="C27" s="52"/>
      <c r="D27" s="52"/>
      <c r="E27" s="52"/>
      <c r="F27" s="52"/>
      <c r="G27" s="52">
        <v>78</v>
      </c>
      <c r="H27" s="52">
        <v>42</v>
      </c>
      <c r="I27" s="52">
        <v>42</v>
      </c>
      <c r="J27" s="52">
        <v>24</v>
      </c>
      <c r="K27" s="52"/>
      <c r="L27" s="52"/>
      <c r="M27" s="52"/>
      <c r="N27" s="52">
        <f t="shared" si="0"/>
        <v>186</v>
      </c>
      <c r="O27" s="44">
        <f t="shared" si="1"/>
        <v>1.8186742646835946E-4</v>
      </c>
    </row>
    <row r="28" spans="1:15" s="54" customFormat="1" ht="16.8" x14ac:dyDescent="0.4">
      <c r="A28" s="42" t="s">
        <v>182</v>
      </c>
      <c r="B28" s="52"/>
      <c r="C28" s="52"/>
      <c r="D28" s="52"/>
      <c r="E28" s="52">
        <v>4</v>
      </c>
      <c r="F28" s="52">
        <v>28</v>
      </c>
      <c r="G28" s="52"/>
      <c r="H28" s="52"/>
      <c r="I28" s="52"/>
      <c r="J28" s="52"/>
      <c r="K28" s="52"/>
      <c r="L28" s="52">
        <v>5</v>
      </c>
      <c r="M28" s="52"/>
      <c r="N28" s="52">
        <f t="shared" si="0"/>
        <v>37</v>
      </c>
      <c r="O28" s="44">
        <f t="shared" si="1"/>
        <v>3.6177928921125265E-5</v>
      </c>
    </row>
    <row r="29" spans="1:15" s="54" customFormat="1" ht="16.8" x14ac:dyDescent="0.4">
      <c r="A29" s="42" t="s">
        <v>14</v>
      </c>
      <c r="B29" s="52">
        <v>1504</v>
      </c>
      <c r="C29" s="52">
        <v>1696</v>
      </c>
      <c r="D29" s="52">
        <v>2336</v>
      </c>
      <c r="E29" s="52">
        <v>2176</v>
      </c>
      <c r="F29" s="52">
        <v>3008</v>
      </c>
      <c r="G29" s="52">
        <v>3392</v>
      </c>
      <c r="H29" s="52">
        <v>3392</v>
      </c>
      <c r="I29" s="52">
        <v>3232</v>
      </c>
      <c r="J29" s="52">
        <v>4792</v>
      </c>
      <c r="K29" s="52">
        <v>6440</v>
      </c>
      <c r="L29" s="52">
        <v>2720</v>
      </c>
      <c r="M29" s="52">
        <v>2600</v>
      </c>
      <c r="N29" s="52">
        <f>SUM(B29:M29)</f>
        <v>37288</v>
      </c>
      <c r="O29" s="44">
        <f t="shared" si="1"/>
        <v>3.6459530097592403E-2</v>
      </c>
    </row>
    <row r="30" spans="1:15" s="54" customFormat="1" ht="16.8" x14ac:dyDescent="0.4">
      <c r="A30" s="42" t="s">
        <v>162</v>
      </c>
      <c r="B30" s="52"/>
      <c r="C30" s="52"/>
      <c r="D30" s="52"/>
      <c r="E30" s="52"/>
      <c r="F30" s="52">
        <v>75</v>
      </c>
      <c r="G30" s="52">
        <v>234</v>
      </c>
      <c r="H30" s="52">
        <v>459</v>
      </c>
      <c r="I30" s="52">
        <v>327</v>
      </c>
      <c r="J30" s="52">
        <v>231</v>
      </c>
      <c r="K30" s="52"/>
      <c r="L30" s="52"/>
      <c r="M30" s="52"/>
      <c r="N30" s="52">
        <f t="shared" si="0"/>
        <v>1326</v>
      </c>
      <c r="O30" s="44">
        <f t="shared" si="1"/>
        <v>1.2965387499841109E-3</v>
      </c>
    </row>
    <row r="31" spans="1:15" s="54" customFormat="1" ht="16.8" x14ac:dyDescent="0.4">
      <c r="A31" s="42" t="s">
        <v>183</v>
      </c>
      <c r="B31" s="52">
        <v>15</v>
      </c>
      <c r="C31" s="52">
        <v>27.5</v>
      </c>
      <c r="D31" s="52">
        <v>55</v>
      </c>
      <c r="E31" s="52">
        <v>145</v>
      </c>
      <c r="F31" s="52">
        <v>45</v>
      </c>
      <c r="G31" s="52"/>
      <c r="H31" s="52"/>
      <c r="I31" s="52"/>
      <c r="J31" s="52"/>
      <c r="K31" s="52">
        <v>51</v>
      </c>
      <c r="L31" s="52">
        <v>12</v>
      </c>
      <c r="M31" s="52">
        <v>27</v>
      </c>
      <c r="N31" s="52">
        <f t="shared" si="0"/>
        <v>377.5</v>
      </c>
      <c r="O31" s="44">
        <f t="shared" si="1"/>
        <v>3.6911265318175104E-4</v>
      </c>
    </row>
    <row r="32" spans="1:15" s="54" customFormat="1" ht="16.8" x14ac:dyDescent="0.4">
      <c r="A32" s="42" t="s">
        <v>196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>
        <f t="shared" si="0"/>
        <v>0</v>
      </c>
      <c r="O32" s="44">
        <f t="shared" si="1"/>
        <v>0</v>
      </c>
    </row>
    <row r="33" spans="1:15" s="54" customFormat="1" ht="16.8" x14ac:dyDescent="0.4">
      <c r="A33" s="42" t="s">
        <v>163</v>
      </c>
      <c r="B33" s="52"/>
      <c r="C33" s="52"/>
      <c r="D33" s="52"/>
      <c r="E33" s="52"/>
      <c r="F33" s="52">
        <v>1302</v>
      </c>
      <c r="G33" s="52">
        <v>4326</v>
      </c>
      <c r="H33" s="52">
        <v>3570</v>
      </c>
      <c r="I33" s="52">
        <v>3906</v>
      </c>
      <c r="J33" s="52">
        <v>3654</v>
      </c>
      <c r="K33" s="52"/>
      <c r="L33" s="52"/>
      <c r="M33" s="52"/>
      <c r="N33" s="52">
        <f t="shared" si="0"/>
        <v>16758</v>
      </c>
      <c r="O33" s="44">
        <f t="shared" si="1"/>
        <v>1.6385668455681547E-2</v>
      </c>
    </row>
    <row r="34" spans="1:15" s="54" customFormat="1" ht="16.8" x14ac:dyDescent="0.4">
      <c r="A34" s="42" t="s">
        <v>187</v>
      </c>
      <c r="B34" s="52">
        <v>1925</v>
      </c>
      <c r="C34" s="52">
        <v>1661</v>
      </c>
      <c r="D34" s="52">
        <v>2365</v>
      </c>
      <c r="E34" s="52">
        <v>2805</v>
      </c>
      <c r="F34" s="52">
        <v>1914</v>
      </c>
      <c r="G34" s="52"/>
      <c r="H34" s="52"/>
      <c r="I34" s="52"/>
      <c r="J34" s="52"/>
      <c r="K34" s="52">
        <v>442</v>
      </c>
      <c r="L34" s="52">
        <v>2249</v>
      </c>
      <c r="M34" s="52">
        <v>2041</v>
      </c>
      <c r="N34" s="52">
        <f t="shared" si="0"/>
        <v>15402</v>
      </c>
      <c r="O34" s="44">
        <f t="shared" si="1"/>
        <v>1.5059796249815441E-2</v>
      </c>
    </row>
    <row r="35" spans="1:15" s="54" customFormat="1" ht="16.8" x14ac:dyDescent="0.4">
      <c r="A35" s="42" t="s">
        <v>164</v>
      </c>
      <c r="B35" s="52"/>
      <c r="C35" s="52"/>
      <c r="D35" s="52"/>
      <c r="E35" s="52"/>
      <c r="F35" s="52">
        <v>600</v>
      </c>
      <c r="G35" s="52">
        <v>2400</v>
      </c>
      <c r="H35" s="52">
        <v>2280</v>
      </c>
      <c r="I35" s="52">
        <v>1940</v>
      </c>
      <c r="J35" s="52">
        <v>2360</v>
      </c>
      <c r="K35" s="52"/>
      <c r="L35" s="52"/>
      <c r="M35" s="52"/>
      <c r="N35" s="52">
        <f t="shared" si="0"/>
        <v>9580</v>
      </c>
      <c r="O35" s="44">
        <f t="shared" si="1"/>
        <v>9.3671502449832449E-3</v>
      </c>
    </row>
    <row r="36" spans="1:15" s="54" customFormat="1" ht="16.8" x14ac:dyDescent="0.4">
      <c r="A36" s="42" t="s">
        <v>188</v>
      </c>
      <c r="B36" s="52">
        <v>1792</v>
      </c>
      <c r="C36" s="52">
        <v>911</v>
      </c>
      <c r="D36" s="52">
        <v>1056</v>
      </c>
      <c r="E36" s="52">
        <v>1904</v>
      </c>
      <c r="F36" s="52">
        <v>848</v>
      </c>
      <c r="G36" s="52"/>
      <c r="H36" s="52"/>
      <c r="I36" s="52"/>
      <c r="J36" s="52"/>
      <c r="K36" s="52">
        <v>247</v>
      </c>
      <c r="L36" s="52">
        <v>1729</v>
      </c>
      <c r="M36" s="52">
        <v>1444</v>
      </c>
      <c r="N36" s="52">
        <f t="shared" si="0"/>
        <v>9931</v>
      </c>
      <c r="O36" s="44">
        <f t="shared" si="1"/>
        <v>9.7103516788025687E-3</v>
      </c>
    </row>
    <row r="37" spans="1:15" s="54" customFormat="1" ht="16.8" x14ac:dyDescent="0.4">
      <c r="A37" s="42" t="s">
        <v>165</v>
      </c>
      <c r="B37" s="52"/>
      <c r="C37" s="52"/>
      <c r="D37" s="52"/>
      <c r="E37" s="52"/>
      <c r="F37" s="52">
        <v>884</v>
      </c>
      <c r="G37" s="52">
        <v>1820</v>
      </c>
      <c r="H37" s="52">
        <v>2470</v>
      </c>
      <c r="I37" s="52">
        <v>1794</v>
      </c>
      <c r="J37" s="52">
        <v>2080</v>
      </c>
      <c r="K37" s="52"/>
      <c r="L37" s="52"/>
      <c r="M37" s="52"/>
      <c r="N37" s="52">
        <f t="shared" si="0"/>
        <v>9048</v>
      </c>
      <c r="O37" s="44">
        <f t="shared" si="1"/>
        <v>8.8469702940092276E-3</v>
      </c>
    </row>
    <row r="38" spans="1:15" s="54" customFormat="1" ht="16.8" x14ac:dyDescent="0.4">
      <c r="A38" s="42" t="s">
        <v>189</v>
      </c>
      <c r="B38" s="52">
        <v>735</v>
      </c>
      <c r="C38" s="52">
        <v>987</v>
      </c>
      <c r="D38" s="52">
        <v>987</v>
      </c>
      <c r="E38" s="52">
        <v>1197</v>
      </c>
      <c r="F38" s="52">
        <v>882</v>
      </c>
      <c r="G38" s="52"/>
      <c r="H38" s="52"/>
      <c r="I38" s="52"/>
      <c r="J38" s="52"/>
      <c r="K38" s="52">
        <v>300</v>
      </c>
      <c r="L38" s="52">
        <v>1425</v>
      </c>
      <c r="M38" s="52">
        <v>825</v>
      </c>
      <c r="N38" s="52">
        <f t="shared" si="0"/>
        <v>7338</v>
      </c>
      <c r="O38" s="44">
        <f t="shared" si="1"/>
        <v>7.1749633087355999E-3</v>
      </c>
    </row>
    <row r="39" spans="1:15" s="54" customFormat="1" ht="16.8" x14ac:dyDescent="0.4">
      <c r="A39" s="42" t="s">
        <v>166</v>
      </c>
      <c r="B39" s="52"/>
      <c r="C39" s="52"/>
      <c r="D39" s="52"/>
      <c r="E39" s="52"/>
      <c r="F39" s="52">
        <v>612</v>
      </c>
      <c r="G39" s="52">
        <v>2210</v>
      </c>
      <c r="H39" s="52">
        <v>2278</v>
      </c>
      <c r="I39" s="52">
        <v>2414</v>
      </c>
      <c r="J39" s="52">
        <v>2924</v>
      </c>
      <c r="K39" s="52"/>
      <c r="L39" s="52"/>
      <c r="M39" s="52"/>
      <c r="N39" s="52">
        <f t="shared" si="0"/>
        <v>10438</v>
      </c>
      <c r="O39" s="44">
        <f t="shared" si="1"/>
        <v>1.0206087083208257E-2</v>
      </c>
    </row>
    <row r="40" spans="1:15" s="54" customFormat="1" ht="16.8" x14ac:dyDescent="0.4">
      <c r="A40" s="42" t="s">
        <v>190</v>
      </c>
      <c r="B40" s="52">
        <v>837</v>
      </c>
      <c r="C40" s="52">
        <v>891</v>
      </c>
      <c r="D40" s="52">
        <v>1350</v>
      </c>
      <c r="E40" s="52">
        <v>1296</v>
      </c>
      <c r="F40" s="52">
        <v>1026</v>
      </c>
      <c r="G40" s="52"/>
      <c r="H40" s="52"/>
      <c r="I40" s="52"/>
      <c r="J40" s="52"/>
      <c r="K40" s="52">
        <v>256</v>
      </c>
      <c r="L40" s="52">
        <v>896</v>
      </c>
      <c r="M40" s="52">
        <v>800</v>
      </c>
      <c r="N40" s="52">
        <f t="shared" si="0"/>
        <v>7352</v>
      </c>
      <c r="O40" s="44">
        <f t="shared" si="1"/>
        <v>7.1886522548138638E-3</v>
      </c>
    </row>
    <row r="41" spans="1:15" s="54" customFormat="1" ht="16.8" x14ac:dyDescent="0.4">
      <c r="A41" s="42" t="s">
        <v>167</v>
      </c>
      <c r="B41" s="52"/>
      <c r="C41" s="52"/>
      <c r="D41" s="52"/>
      <c r="E41" s="52"/>
      <c r="F41" s="52">
        <v>215</v>
      </c>
      <c r="G41" s="52">
        <v>1032</v>
      </c>
      <c r="H41" s="52">
        <v>1677</v>
      </c>
      <c r="I41" s="52">
        <v>1204</v>
      </c>
      <c r="J41" s="52">
        <v>1075</v>
      </c>
      <c r="K41" s="52"/>
      <c r="L41" s="52"/>
      <c r="M41" s="52"/>
      <c r="N41" s="52">
        <f t="shared" si="0"/>
        <v>5203</v>
      </c>
      <c r="O41" s="44">
        <f t="shared" si="1"/>
        <v>5.0873990318003985E-3</v>
      </c>
    </row>
    <row r="42" spans="1:15" s="54" customFormat="1" ht="16.8" x14ac:dyDescent="0.4">
      <c r="A42" s="42" t="s">
        <v>191</v>
      </c>
      <c r="B42" s="52">
        <v>170</v>
      </c>
      <c r="C42" s="52">
        <v>238</v>
      </c>
      <c r="D42" s="52">
        <v>408</v>
      </c>
      <c r="E42" s="52">
        <v>510</v>
      </c>
      <c r="F42" s="52">
        <v>306</v>
      </c>
      <c r="G42" s="52"/>
      <c r="H42" s="52"/>
      <c r="I42" s="52"/>
      <c r="J42" s="52"/>
      <c r="K42" s="52">
        <v>160</v>
      </c>
      <c r="L42" s="52">
        <v>600</v>
      </c>
      <c r="M42" s="52">
        <v>400</v>
      </c>
      <c r="N42" s="52">
        <f t="shared" si="0"/>
        <v>2792</v>
      </c>
      <c r="O42" s="44">
        <f t="shared" si="1"/>
        <v>2.7299669607508581E-3</v>
      </c>
    </row>
    <row r="43" spans="1:15" s="54" customFormat="1" ht="16.8" x14ac:dyDescent="0.4">
      <c r="A43" s="42" t="s">
        <v>168</v>
      </c>
      <c r="B43" s="52"/>
      <c r="C43" s="52"/>
      <c r="D43" s="52"/>
      <c r="E43" s="52"/>
      <c r="F43" s="52">
        <v>106</v>
      </c>
      <c r="G43" s="52">
        <v>371</v>
      </c>
      <c r="H43" s="52">
        <v>689</v>
      </c>
      <c r="I43" s="52">
        <v>371</v>
      </c>
      <c r="J43" s="52">
        <v>318</v>
      </c>
      <c r="K43" s="52"/>
      <c r="L43" s="52"/>
      <c r="M43" s="52"/>
      <c r="N43" s="52">
        <f t="shared" si="0"/>
        <v>1855</v>
      </c>
      <c r="O43" s="44">
        <f t="shared" si="1"/>
        <v>1.8137853553699288E-3</v>
      </c>
    </row>
    <row r="44" spans="1:15" s="54" customFormat="1" ht="16.8" x14ac:dyDescent="0.4">
      <c r="A44" s="42" t="s">
        <v>192</v>
      </c>
      <c r="B44" s="52">
        <v>126</v>
      </c>
      <c r="C44" s="52">
        <v>168</v>
      </c>
      <c r="D44" s="52">
        <v>126</v>
      </c>
      <c r="E44" s="52">
        <v>210</v>
      </c>
      <c r="F44" s="52">
        <v>294</v>
      </c>
      <c r="G44" s="52"/>
      <c r="H44" s="52"/>
      <c r="I44" s="52"/>
      <c r="J44" s="52"/>
      <c r="K44" s="52">
        <v>98</v>
      </c>
      <c r="L44" s="52">
        <v>343</v>
      </c>
      <c r="M44" s="52">
        <v>98</v>
      </c>
      <c r="N44" s="52">
        <f t="shared" si="0"/>
        <v>1463</v>
      </c>
      <c r="O44" s="44">
        <f t="shared" si="1"/>
        <v>1.4304948651785478E-3</v>
      </c>
    </row>
    <row r="45" spans="1:15" s="54" customFormat="1" ht="16.8" x14ac:dyDescent="0.4">
      <c r="A45" s="42" t="s">
        <v>169</v>
      </c>
      <c r="B45" s="52"/>
      <c r="C45" s="52"/>
      <c r="D45" s="52"/>
      <c r="E45" s="52"/>
      <c r="F45" s="52">
        <v>64</v>
      </c>
      <c r="G45" s="52">
        <v>256</v>
      </c>
      <c r="H45" s="52">
        <v>64</v>
      </c>
      <c r="I45" s="52">
        <v>256</v>
      </c>
      <c r="J45" s="52">
        <v>64</v>
      </c>
      <c r="K45" s="52"/>
      <c r="L45" s="52"/>
      <c r="M45" s="52"/>
      <c r="N45" s="52">
        <f t="shared" si="0"/>
        <v>704</v>
      </c>
      <c r="O45" s="44">
        <f t="shared" si="1"/>
        <v>6.8835843136411318E-4</v>
      </c>
    </row>
    <row r="46" spans="1:15" s="54" customFormat="1" ht="16.8" x14ac:dyDescent="0.4">
      <c r="A46" s="42" t="s">
        <v>193</v>
      </c>
      <c r="B46" s="52">
        <v>153</v>
      </c>
      <c r="C46" s="52">
        <v>102</v>
      </c>
      <c r="D46" s="52">
        <v>102</v>
      </c>
      <c r="E46" s="52"/>
      <c r="F46" s="52"/>
      <c r="G46" s="52"/>
      <c r="H46" s="52"/>
      <c r="I46" s="52"/>
      <c r="J46" s="52"/>
      <c r="K46" s="52">
        <v>59</v>
      </c>
      <c r="L46" s="52">
        <v>59</v>
      </c>
      <c r="M46" s="52"/>
      <c r="N46" s="52">
        <f t="shared" si="0"/>
        <v>475</v>
      </c>
      <c r="O46" s="44">
        <f t="shared" si="1"/>
        <v>4.6444638479822977E-4</v>
      </c>
    </row>
    <row r="47" spans="1:15" s="54" customFormat="1" ht="16.8" x14ac:dyDescent="0.4">
      <c r="A47" s="42" t="s">
        <v>170</v>
      </c>
      <c r="B47" s="52"/>
      <c r="C47" s="52"/>
      <c r="D47" s="52"/>
      <c r="E47" s="52"/>
      <c r="F47" s="52"/>
      <c r="G47" s="52">
        <v>75</v>
      </c>
      <c r="H47" s="52"/>
      <c r="I47" s="52">
        <v>150</v>
      </c>
      <c r="J47" s="52">
        <v>150</v>
      </c>
      <c r="K47" s="52"/>
      <c r="L47" s="52"/>
      <c r="M47" s="52"/>
      <c r="N47" s="52">
        <f t="shared" si="0"/>
        <v>375</v>
      </c>
      <c r="O47" s="44">
        <f t="shared" si="1"/>
        <v>3.6666819852491825E-4</v>
      </c>
    </row>
    <row r="48" spans="1:15" s="54" customFormat="1" ht="16.8" x14ac:dyDescent="0.4">
      <c r="A48" s="42" t="s">
        <v>194</v>
      </c>
      <c r="B48" s="52">
        <v>60</v>
      </c>
      <c r="C48" s="52"/>
      <c r="D48" s="52"/>
      <c r="E48" s="52">
        <v>120</v>
      </c>
      <c r="F48" s="52">
        <v>60</v>
      </c>
      <c r="G48" s="52"/>
      <c r="H48" s="52"/>
      <c r="I48" s="52"/>
      <c r="J48" s="52"/>
      <c r="K48" s="52"/>
      <c r="L48" s="52"/>
      <c r="M48" s="52">
        <v>81</v>
      </c>
      <c r="N48" s="52">
        <f t="shared" si="0"/>
        <v>321</v>
      </c>
      <c r="O48" s="44">
        <f t="shared" si="1"/>
        <v>3.1386797793733003E-4</v>
      </c>
    </row>
    <row r="49" spans="1:15" s="54" customFormat="1" ht="16.8" x14ac:dyDescent="0.4">
      <c r="A49" s="42" t="s">
        <v>171</v>
      </c>
      <c r="B49" s="52"/>
      <c r="C49" s="52"/>
      <c r="D49" s="52"/>
      <c r="E49" s="52"/>
      <c r="F49" s="52">
        <v>89</v>
      </c>
      <c r="G49" s="52"/>
      <c r="H49" s="52"/>
      <c r="I49" s="52">
        <v>89</v>
      </c>
      <c r="J49" s="52"/>
      <c r="K49" s="52"/>
      <c r="L49" s="52"/>
      <c r="M49" s="52"/>
      <c r="N49" s="52">
        <f t="shared" si="0"/>
        <v>178</v>
      </c>
      <c r="O49" s="44">
        <f t="shared" si="1"/>
        <v>1.7404517156649452E-4</v>
      </c>
    </row>
    <row r="50" spans="1:15" s="54" customFormat="1" ht="16.8" x14ac:dyDescent="0.4">
      <c r="A50" s="42" t="s">
        <v>195</v>
      </c>
      <c r="B50" s="52">
        <v>71</v>
      </c>
      <c r="C50" s="52"/>
      <c r="D50" s="52">
        <v>213</v>
      </c>
      <c r="E50" s="52">
        <v>994</v>
      </c>
      <c r="F50" s="52">
        <v>284</v>
      </c>
      <c r="G50" s="52"/>
      <c r="H50" s="52"/>
      <c r="I50" s="52"/>
      <c r="J50" s="52"/>
      <c r="K50" s="52">
        <v>81</v>
      </c>
      <c r="L50" s="52"/>
      <c r="M50" s="52"/>
      <c r="N50" s="52">
        <f t="shared" si="0"/>
        <v>1643</v>
      </c>
      <c r="O50" s="44">
        <f t="shared" si="1"/>
        <v>1.6064956004705085E-3</v>
      </c>
    </row>
    <row r="51" spans="1:15" s="54" customFormat="1" ht="16.8" x14ac:dyDescent="0.4">
      <c r="A51" s="42" t="s">
        <v>198</v>
      </c>
      <c r="B51" s="52">
        <v>10.8</v>
      </c>
      <c r="C51" s="52">
        <v>10.8</v>
      </c>
      <c r="D51" s="52">
        <v>11.4</v>
      </c>
      <c r="E51" s="52">
        <v>11.4</v>
      </c>
      <c r="F51" s="52">
        <v>11.4</v>
      </c>
      <c r="G51" s="52">
        <v>7.8</v>
      </c>
      <c r="H51" s="52"/>
      <c r="I51" s="52"/>
      <c r="J51" s="52">
        <v>9.6</v>
      </c>
      <c r="K51" s="52">
        <v>12.6</v>
      </c>
      <c r="L51" s="52">
        <v>10.8</v>
      </c>
      <c r="M51" s="52">
        <v>8.4</v>
      </c>
      <c r="N51" s="52">
        <f t="shared" si="0"/>
        <v>104.99999999999999</v>
      </c>
      <c r="O51" s="44">
        <f t="shared" si="1"/>
        <v>1.0266709558697709E-4</v>
      </c>
    </row>
    <row r="52" spans="1:15" ht="16.8" x14ac:dyDescent="0.4">
      <c r="A52" s="5" t="s">
        <v>25</v>
      </c>
      <c r="B52" s="39">
        <f t="shared" ref="B52:M52" si="3">SUM(B4:B51)</f>
        <v>61856.800000000003</v>
      </c>
      <c r="C52" s="39">
        <f t="shared" si="3"/>
        <v>61978.3</v>
      </c>
      <c r="D52" s="39">
        <f t="shared" si="3"/>
        <v>70469.899999999994</v>
      </c>
      <c r="E52" s="39">
        <f t="shared" si="3"/>
        <v>77592.399999999994</v>
      </c>
      <c r="F52" s="39">
        <f t="shared" si="3"/>
        <v>97295.9</v>
      </c>
      <c r="G52" s="39">
        <f t="shared" si="3"/>
        <v>103267.8</v>
      </c>
      <c r="H52" s="39">
        <f t="shared" si="3"/>
        <v>122706.5</v>
      </c>
      <c r="I52" s="39">
        <f t="shared" si="3"/>
        <v>112269</v>
      </c>
      <c r="J52" s="39">
        <f t="shared" si="3"/>
        <v>87981.1</v>
      </c>
      <c r="K52" s="39">
        <f t="shared" si="3"/>
        <v>70629.100000000006</v>
      </c>
      <c r="L52" s="39">
        <f t="shared" si="3"/>
        <v>75646.8</v>
      </c>
      <c r="M52" s="39">
        <f t="shared" si="3"/>
        <v>81029.399999999994</v>
      </c>
      <c r="N52" s="9">
        <f t="shared" si="0"/>
        <v>1022723.0000000001</v>
      </c>
      <c r="O52" s="10">
        <f t="shared" si="1"/>
        <v>1</v>
      </c>
    </row>
    <row r="53" spans="1:15" ht="16.8" x14ac:dyDescent="0.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6.8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6.8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6.8" x14ac:dyDescent="0.4">
      <c r="A56" s="4" t="s">
        <v>148</v>
      </c>
      <c r="B56" s="39">
        <f t="shared" ref="B56:D56" si="4">+B4+B7+B8+B9+B15+B16+B19+B20+B22+B23+B24+B27+B28+B33+B34+B35+B36+B37+B38+B39+B40+B41+B42+B43+B44+B45+B46+B47+B48+B49+B50+B5+B6</f>
        <v>51744</v>
      </c>
      <c r="C56" s="39">
        <f t="shared" si="4"/>
        <v>50806</v>
      </c>
      <c r="D56" s="39">
        <f t="shared" si="4"/>
        <v>57588</v>
      </c>
      <c r="E56" s="39">
        <f>+E4+E7+E8+E9+E15+E16+E19+E20+E22+E23+E24+E27+E28+E33+E34+E35+E36+E37+E38+E39+E40+E41+E42+E43+E44+E45+E46+E47+E48+E49+E50+E5+E6</f>
        <v>64167</v>
      </c>
      <c r="F56" s="39">
        <f t="shared" ref="F56:N56" si="5">+F4+F7+F8+F9+F15+F16+F19+F20+F22+F23+F24+F27+F28+F33+F34+F35+F36+F37+F38+F39+F40+F41+F42+F43+F44+F45+F46+F47+F48+F49+F50+F5+F6</f>
        <v>76191</v>
      </c>
      <c r="G56" s="39">
        <f t="shared" si="5"/>
        <v>79288</v>
      </c>
      <c r="H56" s="39">
        <f t="shared" si="5"/>
        <v>89842</v>
      </c>
      <c r="I56" s="39">
        <f>+I4+I7+I8+I9+I15+I16+I19+I20+I22+I23+I24+I27+I28+I33+I34+I35+I36+I37+I38+I39+I40+I41+I42+I43+I44+I45+I46+I47+I48+I49+I50+I5+I6+I18</f>
        <v>83467</v>
      </c>
      <c r="J56" s="39">
        <f t="shared" ref="J56:M56" si="6">+J4+J7+J8+J9+J15+J16+J19+J20+J22+J23+J24+J27+J28+J33+J34+J35+J36+J37+J38+J39+J40+J41+J42+J43+J44+J45+J46+J47+J48+J49+J50+J5+J6+J18</f>
        <v>62069</v>
      </c>
      <c r="K56" s="39">
        <f t="shared" si="6"/>
        <v>40737</v>
      </c>
      <c r="L56" s="39">
        <f t="shared" si="6"/>
        <v>58258</v>
      </c>
      <c r="M56" s="39">
        <f t="shared" si="6"/>
        <v>65919</v>
      </c>
      <c r="N56" s="39">
        <f t="shared" si="5"/>
        <v>780076</v>
      </c>
      <c r="O56" s="4"/>
    </row>
    <row r="57" spans="1:15" s="56" customFormat="1" ht="16.8" x14ac:dyDescent="0.4">
      <c r="A57" s="55" t="s">
        <v>149</v>
      </c>
      <c r="B57" s="50">
        <f>+B10+B11+B12+B13+B14+B17+B21+B25+B26+B29+B30+B31+B51</f>
        <v>10112.799999999999</v>
      </c>
      <c r="C57" s="50">
        <f t="shared" ref="C57:N57" si="7">+C10+C11+C12+C13+C14+C17+C21+C25+C26+C29+C30+C31+C51</f>
        <v>11172.3</v>
      </c>
      <c r="D57" s="50">
        <f t="shared" si="7"/>
        <v>12881.9</v>
      </c>
      <c r="E57" s="50">
        <f t="shared" si="7"/>
        <v>13425.4</v>
      </c>
      <c r="F57" s="50">
        <f t="shared" si="7"/>
        <v>21104.9</v>
      </c>
      <c r="G57" s="50">
        <f t="shared" si="7"/>
        <v>23979.8</v>
      </c>
      <c r="H57" s="50">
        <f t="shared" si="7"/>
        <v>32864.5</v>
      </c>
      <c r="I57" s="50">
        <f t="shared" si="7"/>
        <v>28802</v>
      </c>
      <c r="J57" s="50">
        <f t="shared" si="7"/>
        <v>25912.1</v>
      </c>
      <c r="K57" s="50">
        <f t="shared" si="7"/>
        <v>29892.1</v>
      </c>
      <c r="L57" s="50">
        <f t="shared" si="7"/>
        <v>17388.8</v>
      </c>
      <c r="M57" s="50">
        <f t="shared" si="7"/>
        <v>15110.4</v>
      </c>
      <c r="N57" s="50">
        <f t="shared" si="7"/>
        <v>242647</v>
      </c>
      <c r="O57" s="50"/>
    </row>
    <row r="58" spans="1:15" s="46" customFormat="1" ht="17.399999999999999" thickBot="1" x14ac:dyDescent="0.45">
      <c r="A58" s="48" t="s">
        <v>143</v>
      </c>
      <c r="B58" s="47">
        <f t="shared" ref="B58:N58" si="8">SUM(B56:B57)</f>
        <v>61856.800000000003</v>
      </c>
      <c r="C58" s="47">
        <f t="shared" si="8"/>
        <v>61978.3</v>
      </c>
      <c r="D58" s="47">
        <f t="shared" si="8"/>
        <v>70469.899999999994</v>
      </c>
      <c r="E58" s="47">
        <f t="shared" si="8"/>
        <v>77592.399999999994</v>
      </c>
      <c r="F58" s="47">
        <f t="shared" si="8"/>
        <v>97295.9</v>
      </c>
      <c r="G58" s="47">
        <f t="shared" si="8"/>
        <v>103267.8</v>
      </c>
      <c r="H58" s="47">
        <f t="shared" si="8"/>
        <v>122706.5</v>
      </c>
      <c r="I58" s="47">
        <f t="shared" si="8"/>
        <v>112269</v>
      </c>
      <c r="J58" s="47">
        <f t="shared" si="8"/>
        <v>87981.1</v>
      </c>
      <c r="K58" s="47">
        <f t="shared" si="8"/>
        <v>70629.100000000006</v>
      </c>
      <c r="L58" s="47">
        <f t="shared" si="8"/>
        <v>75646.8</v>
      </c>
      <c r="M58" s="47">
        <f t="shared" si="8"/>
        <v>81029.399999999994</v>
      </c>
      <c r="N58" s="47">
        <f t="shared" si="8"/>
        <v>1022723</v>
      </c>
      <c r="O58" s="48"/>
    </row>
    <row r="59" spans="1:15" ht="17.399999999999999" thickTop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8" x14ac:dyDescent="0.4">
      <c r="A60" s="4"/>
      <c r="B60" s="39">
        <f t="shared" ref="B60:M60" si="9">+B58-B52</f>
        <v>0</v>
      </c>
      <c r="C60" s="39">
        <f t="shared" si="9"/>
        <v>0</v>
      </c>
      <c r="D60" s="39">
        <f t="shared" si="9"/>
        <v>0</v>
      </c>
      <c r="E60" s="39">
        <f t="shared" si="9"/>
        <v>0</v>
      </c>
      <c r="F60" s="39">
        <f t="shared" si="9"/>
        <v>0</v>
      </c>
      <c r="G60" s="39">
        <f t="shared" si="9"/>
        <v>0</v>
      </c>
      <c r="H60" s="39">
        <f t="shared" si="9"/>
        <v>0</v>
      </c>
      <c r="I60" s="39">
        <f t="shared" si="9"/>
        <v>0</v>
      </c>
      <c r="J60" s="39">
        <f t="shared" si="9"/>
        <v>0</v>
      </c>
      <c r="K60" s="39">
        <f t="shared" si="9"/>
        <v>0</v>
      </c>
      <c r="L60" s="39">
        <f t="shared" si="9"/>
        <v>0</v>
      </c>
      <c r="M60" s="39">
        <f t="shared" si="9"/>
        <v>0</v>
      </c>
      <c r="N60" s="4"/>
      <c r="O60" s="4"/>
    </row>
    <row r="65" spans="1:14" ht="16.2" x14ac:dyDescent="0.25">
      <c r="A65" s="60" t="s">
        <v>204</v>
      </c>
      <c r="B65" s="61">
        <f t="shared" ref="B65:N65" si="10">+B4+B7+B8+B9+B5+B6</f>
        <v>24399</v>
      </c>
      <c r="C65" s="61">
        <f t="shared" si="10"/>
        <v>22714</v>
      </c>
      <c r="D65" s="61">
        <f t="shared" si="10"/>
        <v>24690</v>
      </c>
      <c r="E65" s="61">
        <f t="shared" si="10"/>
        <v>26640</v>
      </c>
      <c r="F65" s="61">
        <f t="shared" si="10"/>
        <v>32198</v>
      </c>
      <c r="G65" s="61">
        <f t="shared" si="10"/>
        <v>28045</v>
      </c>
      <c r="H65" s="61">
        <f t="shared" si="10"/>
        <v>29332</v>
      </c>
      <c r="I65" s="61">
        <f t="shared" si="10"/>
        <v>26421</v>
      </c>
      <c r="J65" s="61">
        <f t="shared" si="10"/>
        <v>12544</v>
      </c>
      <c r="K65" s="61">
        <f t="shared" si="10"/>
        <v>32742</v>
      </c>
      <c r="L65" s="61">
        <f t="shared" si="10"/>
        <v>19016</v>
      </c>
      <c r="M65" s="61">
        <f t="shared" si="10"/>
        <v>28202</v>
      </c>
      <c r="N65" s="61">
        <f t="shared" si="10"/>
        <v>306943</v>
      </c>
    </row>
    <row r="66" spans="1:14" ht="16.2" x14ac:dyDescent="0.25">
      <c r="A66" s="60" t="s">
        <v>205</v>
      </c>
      <c r="B66" s="61">
        <f t="shared" ref="B66:N66" si="11">+B15+B16+B23+B24</f>
        <v>21436</v>
      </c>
      <c r="C66" s="61">
        <f t="shared" si="11"/>
        <v>23064</v>
      </c>
      <c r="D66" s="61">
        <f t="shared" si="11"/>
        <v>26181</v>
      </c>
      <c r="E66" s="61">
        <f t="shared" si="11"/>
        <v>28117</v>
      </c>
      <c r="F66" s="61">
        <f t="shared" si="11"/>
        <v>34052</v>
      </c>
      <c r="G66" s="61">
        <f t="shared" si="11"/>
        <v>38171</v>
      </c>
      <c r="H66" s="61">
        <f t="shared" si="11"/>
        <v>46677</v>
      </c>
      <c r="I66" s="61">
        <f t="shared" si="11"/>
        <v>44345</v>
      </c>
      <c r="J66" s="61">
        <f t="shared" si="11"/>
        <v>36589</v>
      </c>
      <c r="K66" s="61">
        <f t="shared" si="11"/>
        <v>6214</v>
      </c>
      <c r="L66" s="61">
        <f t="shared" si="11"/>
        <v>31900</v>
      </c>
      <c r="M66" s="61">
        <f t="shared" si="11"/>
        <v>32004</v>
      </c>
      <c r="N66" s="61">
        <f t="shared" si="11"/>
        <v>368750</v>
      </c>
    </row>
    <row r="67" spans="1:14" ht="16.2" x14ac:dyDescent="0.25">
      <c r="A67" s="60" t="s">
        <v>206</v>
      </c>
      <c r="B67" s="61">
        <f t="shared" ref="B67:N67" si="12">+B19+B20+B27+B28</f>
        <v>40</v>
      </c>
      <c r="C67" s="61">
        <f t="shared" si="12"/>
        <v>70</v>
      </c>
      <c r="D67" s="61">
        <f t="shared" si="12"/>
        <v>95</v>
      </c>
      <c r="E67" s="61">
        <f t="shared" si="12"/>
        <v>234</v>
      </c>
      <c r="F67" s="61">
        <f t="shared" si="12"/>
        <v>450</v>
      </c>
      <c r="G67" s="61">
        <f t="shared" si="12"/>
        <v>582</v>
      </c>
      <c r="H67" s="61">
        <f t="shared" si="12"/>
        <v>805</v>
      </c>
      <c r="I67" s="61">
        <f t="shared" si="12"/>
        <v>567</v>
      </c>
      <c r="J67" s="61">
        <f t="shared" si="12"/>
        <v>311</v>
      </c>
      <c r="K67" s="61">
        <f t="shared" si="12"/>
        <v>126</v>
      </c>
      <c r="L67" s="61">
        <f t="shared" si="12"/>
        <v>41</v>
      </c>
      <c r="M67" s="61">
        <f t="shared" si="12"/>
        <v>24</v>
      </c>
      <c r="N67" s="61">
        <f t="shared" si="12"/>
        <v>3345</v>
      </c>
    </row>
    <row r="68" spans="1:14" ht="16.2" x14ac:dyDescent="0.25">
      <c r="A68" s="60" t="s">
        <v>207</v>
      </c>
      <c r="B68" s="61">
        <f t="shared" ref="B68:H68" si="13">+B33+B34+B35+B36+B37+B38+B39+B40+B41+B42+B43+B44+B45+B46+B47+B48+B49+B50+B18+B22</f>
        <v>5869</v>
      </c>
      <c r="C68" s="61">
        <f t="shared" si="13"/>
        <v>4958</v>
      </c>
      <c r="D68" s="61">
        <f t="shared" si="13"/>
        <v>6622</v>
      </c>
      <c r="E68" s="61">
        <f t="shared" si="13"/>
        <v>9176</v>
      </c>
      <c r="F68" s="61">
        <f t="shared" si="13"/>
        <v>9491</v>
      </c>
      <c r="G68" s="61">
        <f t="shared" si="13"/>
        <v>12490</v>
      </c>
      <c r="H68" s="61">
        <f t="shared" si="13"/>
        <v>13028</v>
      </c>
      <c r="I68" s="61">
        <f>+I33+I34+I35+I36+I37+I38+I39+I40+I41+I42+I43+I44+I45+I46+I47+I48+I49+I50+I18+I22</f>
        <v>12134</v>
      </c>
      <c r="J68" s="61">
        <f t="shared" ref="J68:M68" si="14">+J33+J34+J35+J36+J37+J38+J39+J40+J41+J42+J43+J44+J45+J46+J47+J48+J49+J50+J18+J22</f>
        <v>12625</v>
      </c>
      <c r="K68" s="61">
        <f t="shared" si="14"/>
        <v>1655</v>
      </c>
      <c r="L68" s="61">
        <f t="shared" si="14"/>
        <v>7301</v>
      </c>
      <c r="M68" s="61">
        <f t="shared" si="14"/>
        <v>5689</v>
      </c>
      <c r="N68" s="61">
        <f t="shared" ref="N68" si="15">+N33+N34+N35+N36+N37+N38+N39+N40+N41+N42+N43+N44+N45+N46+N47+N48+N49+N50</f>
        <v>100856</v>
      </c>
    </row>
    <row r="69" spans="1:14" ht="16.2" x14ac:dyDescent="0.25">
      <c r="A69" s="60" t="s">
        <v>208</v>
      </c>
      <c r="B69" s="61">
        <f t="shared" ref="B69:N69" si="16">+B12+B29</f>
        <v>4843</v>
      </c>
      <c r="C69" s="61">
        <f t="shared" si="16"/>
        <v>5141</v>
      </c>
      <c r="D69" s="61">
        <f t="shared" si="16"/>
        <v>5463</v>
      </c>
      <c r="E69" s="61">
        <f t="shared" si="16"/>
        <v>5568</v>
      </c>
      <c r="F69" s="61">
        <f t="shared" si="16"/>
        <v>9156</v>
      </c>
      <c r="G69" s="61">
        <f t="shared" si="16"/>
        <v>8427</v>
      </c>
      <c r="H69" s="61">
        <f t="shared" si="16"/>
        <v>9805</v>
      </c>
      <c r="I69" s="61">
        <f t="shared" si="16"/>
        <v>8108</v>
      </c>
      <c r="J69" s="61">
        <f t="shared" si="16"/>
        <v>11725</v>
      </c>
      <c r="K69" s="61">
        <f t="shared" si="16"/>
        <v>18165</v>
      </c>
      <c r="L69" s="61">
        <f t="shared" si="16"/>
        <v>6874</v>
      </c>
      <c r="M69" s="61">
        <f t="shared" si="16"/>
        <v>7089</v>
      </c>
      <c r="N69" s="61">
        <f t="shared" si="16"/>
        <v>100364</v>
      </c>
    </row>
    <row r="70" spans="1:14" ht="16.2" x14ac:dyDescent="0.25">
      <c r="A70" s="60" t="s">
        <v>209</v>
      </c>
      <c r="B70" s="61">
        <f t="shared" ref="B70:N70" si="17">+B13+B14+B25+B26</f>
        <v>4893.5</v>
      </c>
      <c r="C70" s="61">
        <f t="shared" si="17"/>
        <v>5694.5</v>
      </c>
      <c r="D70" s="61">
        <f t="shared" si="17"/>
        <v>6563.5</v>
      </c>
      <c r="E70" s="61">
        <f t="shared" si="17"/>
        <v>7113.5</v>
      </c>
      <c r="F70" s="61">
        <f t="shared" si="17"/>
        <v>10976.5</v>
      </c>
      <c r="G70" s="61">
        <f t="shared" si="17"/>
        <v>13093.5</v>
      </c>
      <c r="H70" s="61">
        <f t="shared" si="17"/>
        <v>20470</v>
      </c>
      <c r="I70" s="61">
        <f t="shared" si="17"/>
        <v>19263.5</v>
      </c>
      <c r="J70" s="61">
        <f t="shared" si="17"/>
        <v>13071</v>
      </c>
      <c r="K70" s="61">
        <f t="shared" si="17"/>
        <v>9944</v>
      </c>
      <c r="L70" s="61">
        <f t="shared" si="17"/>
        <v>7497</v>
      </c>
      <c r="M70" s="61">
        <f t="shared" si="17"/>
        <v>7157</v>
      </c>
      <c r="N70" s="61">
        <f t="shared" si="17"/>
        <v>125737.5</v>
      </c>
    </row>
    <row r="71" spans="1:14" ht="16.2" x14ac:dyDescent="0.25">
      <c r="A71" s="60" t="s">
        <v>210</v>
      </c>
      <c r="B71" s="61">
        <f t="shared" ref="B71:N71" si="18">+B10+B11+B30+B31</f>
        <v>151.5</v>
      </c>
      <c r="C71" s="61">
        <f t="shared" si="18"/>
        <v>227</v>
      </c>
      <c r="D71" s="61">
        <f t="shared" si="18"/>
        <v>289.5</v>
      </c>
      <c r="E71" s="61">
        <f t="shared" si="18"/>
        <v>628</v>
      </c>
      <c r="F71" s="61">
        <f t="shared" si="18"/>
        <v>856.5</v>
      </c>
      <c r="G71" s="61">
        <f t="shared" si="18"/>
        <v>1080</v>
      </c>
      <c r="H71" s="61">
        <f t="shared" si="18"/>
        <v>1939.5</v>
      </c>
      <c r="I71" s="61">
        <f t="shared" si="18"/>
        <v>1330.5</v>
      </c>
      <c r="J71" s="61">
        <f t="shared" si="18"/>
        <v>1018.5</v>
      </c>
      <c r="K71" s="61">
        <f t="shared" si="18"/>
        <v>535</v>
      </c>
      <c r="L71" s="61">
        <f t="shared" si="18"/>
        <v>168</v>
      </c>
      <c r="M71" s="61">
        <f t="shared" si="18"/>
        <v>159</v>
      </c>
      <c r="N71" s="61">
        <f t="shared" si="18"/>
        <v>8383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17</vt:i4>
      </vt:variant>
    </vt:vector>
  </HeadingPairs>
  <TitlesOfParts>
    <vt:vector size="5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 New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Chart2005-11</vt:lpstr>
      <vt:lpstr>'1996'!Print_Area</vt:lpstr>
      <vt:lpstr>'1997'!Print_Area</vt:lpstr>
      <vt:lpstr>'2003'!Print_Area</vt:lpstr>
      <vt:lpstr>'2004'!Print_Area</vt:lpstr>
      <vt:lpstr>'2004 New'!Print_Area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'2023'!Print_Area</vt:lpstr>
      <vt:lpstr>'1997'!Print_Area_MI</vt:lpstr>
    </vt:vector>
  </TitlesOfParts>
  <Company>Skagit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TRISHAL</dc:creator>
  <cp:lastModifiedBy>Christine Lyons</cp:lastModifiedBy>
  <cp:lastPrinted>2023-10-17T21:31:21Z</cp:lastPrinted>
  <dcterms:created xsi:type="dcterms:W3CDTF">1997-12-16T16:16:10Z</dcterms:created>
  <dcterms:modified xsi:type="dcterms:W3CDTF">2023-12-22T21:40:57Z</dcterms:modified>
</cp:coreProperties>
</file>